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 activeTab="1"/>
  </bookViews>
  <sheets>
    <sheet name="янв-апр 2024" sheetId="36" r:id="rId1"/>
    <sheet name="май-дек 2024" sheetId="37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37" l="1"/>
  <c r="O24" i="37"/>
  <c r="P31" i="37"/>
  <c r="Q34" i="37"/>
  <c r="P34" i="37"/>
  <c r="O34" i="37"/>
  <c r="N36" i="37"/>
  <c r="N34" i="37"/>
  <c r="N31" i="37"/>
  <c r="L34" i="37" l="1"/>
  <c r="L29" i="37"/>
  <c r="M31" i="37"/>
  <c r="G152" i="37" l="1"/>
  <c r="J150" i="37"/>
  <c r="I149" i="37"/>
  <c r="I146" i="37"/>
  <c r="AH17" i="37" s="1"/>
  <c r="C146" i="37"/>
  <c r="I145" i="37"/>
  <c r="E145" i="37"/>
  <c r="C145" i="37"/>
  <c r="I144" i="37"/>
  <c r="I148" i="37" s="1"/>
  <c r="K124" i="37"/>
  <c r="E122" i="37"/>
  <c r="D122" i="37"/>
  <c r="K120" i="37"/>
  <c r="F120" i="37"/>
  <c r="H120" i="37" s="1"/>
  <c r="C120" i="37"/>
  <c r="G120" i="37" s="1"/>
  <c r="K118" i="37"/>
  <c r="G118" i="37"/>
  <c r="G145" i="37" s="1"/>
  <c r="F118" i="37"/>
  <c r="H118" i="37" s="1"/>
  <c r="C118" i="37"/>
  <c r="N116" i="37"/>
  <c r="K116" i="37"/>
  <c r="J111" i="37" s="1"/>
  <c r="F116" i="37"/>
  <c r="H116" i="37" s="1"/>
  <c r="C116" i="37"/>
  <c r="G116" i="37" s="1"/>
  <c r="N114" i="37"/>
  <c r="K114" i="37"/>
  <c r="F114" i="37"/>
  <c r="H114" i="37" s="1"/>
  <c r="C114" i="37"/>
  <c r="G114" i="37" s="1"/>
  <c r="J113" i="37"/>
  <c r="G111" i="37"/>
  <c r="F111" i="37"/>
  <c r="H111" i="37" s="1"/>
  <c r="C111" i="37"/>
  <c r="H108" i="37"/>
  <c r="F108" i="37"/>
  <c r="F122" i="37" s="1"/>
  <c r="C108" i="37"/>
  <c r="G108" i="37" s="1"/>
  <c r="D106" i="37"/>
  <c r="D124" i="37" s="1"/>
  <c r="H104" i="37"/>
  <c r="E104" i="37"/>
  <c r="C104" i="37"/>
  <c r="D102" i="37"/>
  <c r="H100" i="37"/>
  <c r="E100" i="37"/>
  <c r="C100" i="37"/>
  <c r="G100" i="37" s="1"/>
  <c r="H98" i="37"/>
  <c r="E98" i="37"/>
  <c r="C98" i="37"/>
  <c r="G98" i="37" s="1"/>
  <c r="F96" i="37"/>
  <c r="H96" i="37" s="1"/>
  <c r="C96" i="37"/>
  <c r="G96" i="37" s="1"/>
  <c r="G94" i="37"/>
  <c r="F94" i="37"/>
  <c r="H94" i="37" s="1"/>
  <c r="C94" i="37"/>
  <c r="F92" i="37"/>
  <c r="H92" i="37" s="1"/>
  <c r="C92" i="37"/>
  <c r="G92" i="37" s="1"/>
  <c r="I65" i="37"/>
  <c r="H65" i="37"/>
  <c r="E65" i="37"/>
  <c r="C65" i="37"/>
  <c r="I55" i="37"/>
  <c r="G54" i="37"/>
  <c r="F54" i="37"/>
  <c r="F102" i="37" s="1"/>
  <c r="F106" i="37" s="1"/>
  <c r="C54" i="37"/>
  <c r="H51" i="37"/>
  <c r="E51" i="37"/>
  <c r="G51" i="37" s="1"/>
  <c r="C51" i="37"/>
  <c r="H47" i="37"/>
  <c r="E47" i="37"/>
  <c r="G47" i="37" s="1"/>
  <c r="C47" i="37"/>
  <c r="L38" i="37"/>
  <c r="AH33" i="37"/>
  <c r="H32" i="37"/>
  <c r="E32" i="37"/>
  <c r="C32" i="37"/>
  <c r="Q31" i="37"/>
  <c r="M34" i="37"/>
  <c r="L26" i="37"/>
  <c r="Q24" i="37"/>
  <c r="P24" i="37"/>
  <c r="N24" i="37"/>
  <c r="M24" i="37"/>
  <c r="H22" i="37"/>
  <c r="E22" i="37"/>
  <c r="C22" i="37"/>
  <c r="G22" i="37" s="1"/>
  <c r="AC21" i="37"/>
  <c r="AA21" i="37"/>
  <c r="Z21" i="37"/>
  <c r="Y21" i="37"/>
  <c r="U21" i="37"/>
  <c r="T21" i="37"/>
  <c r="R21" i="37"/>
  <c r="Q21" i="37"/>
  <c r="P21" i="37"/>
  <c r="M21" i="37"/>
  <c r="X19" i="37"/>
  <c r="W19" i="37"/>
  <c r="W21" i="37" s="1"/>
  <c r="V19" i="37"/>
  <c r="S19" i="37"/>
  <c r="S21" i="37" s="1"/>
  <c r="R19" i="37"/>
  <c r="O19" i="37"/>
  <c r="O31" i="37" s="1"/>
  <c r="N19" i="37"/>
  <c r="L19" i="37"/>
  <c r="L31" i="37" s="1"/>
  <c r="AB17" i="37"/>
  <c r="AB21" i="37" s="1"/>
  <c r="X17" i="37"/>
  <c r="V17" i="37"/>
  <c r="V21" i="37" s="1"/>
  <c r="L17" i="37"/>
  <c r="AH15" i="37"/>
  <c r="AH14" i="37"/>
  <c r="AH16" i="37" s="1"/>
  <c r="AN13" i="37"/>
  <c r="N13" i="37"/>
  <c r="B13" i="37"/>
  <c r="AJ12" i="37"/>
  <c r="AI12" i="37"/>
  <c r="AM12" i="37" s="1"/>
  <c r="AO12" i="37" s="1"/>
  <c r="AK11" i="37"/>
  <c r="AJ11" i="37"/>
  <c r="AI11" i="37"/>
  <c r="AK10" i="37"/>
  <c r="AK13" i="37" s="1"/>
  <c r="AK14" i="37" s="1"/>
  <c r="AJ10" i="37"/>
  <c r="AI10" i="37"/>
  <c r="D122" i="36"/>
  <c r="H122" i="36" s="1"/>
  <c r="H120" i="36"/>
  <c r="E120" i="36"/>
  <c r="E122" i="36" s="1"/>
  <c r="C120" i="36"/>
  <c r="G118" i="36"/>
  <c r="F118" i="36"/>
  <c r="F122" i="36" s="1"/>
  <c r="C118" i="36"/>
  <c r="H116" i="36"/>
  <c r="E116" i="36"/>
  <c r="G116" i="36" s="1"/>
  <c r="C116" i="36"/>
  <c r="H114" i="36"/>
  <c r="E114" i="36"/>
  <c r="G114" i="36" s="1"/>
  <c r="C114" i="36"/>
  <c r="K111" i="36"/>
  <c r="H111" i="36"/>
  <c r="G111" i="36"/>
  <c r="F111" i="36"/>
  <c r="C111" i="36"/>
  <c r="H108" i="36"/>
  <c r="G108" i="36"/>
  <c r="F108" i="36"/>
  <c r="C108" i="36"/>
  <c r="C122" i="36" s="1"/>
  <c r="D106" i="36"/>
  <c r="H104" i="36"/>
  <c r="E104" i="36"/>
  <c r="C104" i="36"/>
  <c r="G104" i="36" s="1"/>
  <c r="F102" i="36"/>
  <c r="F106" i="36" s="1"/>
  <c r="F124" i="36" s="1"/>
  <c r="E102" i="36"/>
  <c r="E106" i="36" s="1"/>
  <c r="E124" i="36" s="1"/>
  <c r="D102" i="36"/>
  <c r="H102" i="36" s="1"/>
  <c r="H100" i="36"/>
  <c r="G100" i="36"/>
  <c r="E100" i="36"/>
  <c r="C100" i="36"/>
  <c r="H98" i="36"/>
  <c r="G98" i="36"/>
  <c r="F98" i="36"/>
  <c r="C98" i="36"/>
  <c r="H96" i="36"/>
  <c r="G96" i="36"/>
  <c r="E96" i="36"/>
  <c r="C96" i="36"/>
  <c r="H94" i="36"/>
  <c r="G94" i="36"/>
  <c r="F94" i="36"/>
  <c r="C94" i="36"/>
  <c r="H92" i="36"/>
  <c r="G92" i="36"/>
  <c r="G134" i="36" s="1"/>
  <c r="F92" i="36"/>
  <c r="C92" i="36"/>
  <c r="H65" i="36"/>
  <c r="G65" i="36"/>
  <c r="E65" i="36"/>
  <c r="C65" i="36"/>
  <c r="H54" i="36"/>
  <c r="G54" i="36"/>
  <c r="G133" i="36" s="1"/>
  <c r="E54" i="36"/>
  <c r="C54" i="36"/>
  <c r="H51" i="36"/>
  <c r="G51" i="36"/>
  <c r="E51" i="36"/>
  <c r="C51" i="36"/>
  <c r="H47" i="36"/>
  <c r="G47" i="36"/>
  <c r="E47" i="36"/>
  <c r="C47" i="36"/>
  <c r="H32" i="36"/>
  <c r="G32" i="36"/>
  <c r="E32" i="36"/>
  <c r="C32" i="36"/>
  <c r="H22" i="36"/>
  <c r="G22" i="36"/>
  <c r="E22" i="36"/>
  <c r="C22" i="36"/>
  <c r="C102" i="36" s="1"/>
  <c r="B13" i="36"/>
  <c r="N21" i="37" l="1"/>
  <c r="X21" i="37"/>
  <c r="G32" i="37"/>
  <c r="G104" i="37"/>
  <c r="AI13" i="37"/>
  <c r="E102" i="37"/>
  <c r="E106" i="37" s="1"/>
  <c r="E124" i="37" s="1"/>
  <c r="AH18" i="37"/>
  <c r="AH30" i="37" s="1"/>
  <c r="AH35" i="37" s="1"/>
  <c r="AM11" i="37"/>
  <c r="AO11" i="37" s="1"/>
  <c r="AJ13" i="37"/>
  <c r="L21" i="37"/>
  <c r="G65" i="37"/>
  <c r="L144" i="37"/>
  <c r="H102" i="37"/>
  <c r="L147" i="37"/>
  <c r="F124" i="37"/>
  <c r="H124" i="37" s="1"/>
  <c r="G146" i="37"/>
  <c r="G144" i="37"/>
  <c r="H122" i="37"/>
  <c r="C102" i="37"/>
  <c r="H106" i="37"/>
  <c r="C122" i="37"/>
  <c r="G122" i="37" s="1"/>
  <c r="K122" i="37" s="1"/>
  <c r="AM10" i="37"/>
  <c r="O21" i="37"/>
  <c r="H54" i="37"/>
  <c r="I147" i="37"/>
  <c r="L24" i="37"/>
  <c r="H106" i="36"/>
  <c r="G122" i="36"/>
  <c r="C106" i="36"/>
  <c r="G102" i="36"/>
  <c r="H118" i="36"/>
  <c r="D124" i="36"/>
  <c r="H124" i="36" s="1"/>
  <c r="G120" i="36"/>
  <c r="G132" i="36" s="1"/>
  <c r="G148" i="37" l="1"/>
  <c r="G150" i="37" s="1"/>
  <c r="G147" i="37"/>
  <c r="C106" i="37"/>
  <c r="G102" i="37"/>
  <c r="AO10" i="37"/>
  <c r="AM13" i="37"/>
  <c r="AO13" i="37" s="1"/>
  <c r="G135" i="36"/>
  <c r="G136" i="36"/>
  <c r="G138" i="36" s="1"/>
  <c r="C124" i="36"/>
  <c r="G106" i="36"/>
  <c r="C124" i="37" l="1"/>
  <c r="G106" i="37"/>
  <c r="G124" i="36"/>
  <c r="B133" i="36"/>
  <c r="G124" i="37" l="1"/>
  <c r="C144" i="37"/>
</calcChain>
</file>

<file path=xl/sharedStrings.xml><?xml version="1.0" encoding="utf-8"?>
<sst xmlns="http://schemas.openxmlformats.org/spreadsheetml/2006/main" count="568" uniqueCount="264">
  <si>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</si>
  <si>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</si>
  <si>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                    по многоквартирному дому, расположенному по адресу:  Кубовая, 96/4</t>
  </si>
  <si>
    <t xml:space="preserve"> </t>
  </si>
  <si>
    <t xml:space="preserve">Текущее </t>
  </si>
  <si>
    <t>Коммуналь.</t>
  </si>
  <si>
    <t>в том числе</t>
  </si>
  <si>
    <t xml:space="preserve">Общая  площадь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</si>
  <si>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</si>
  <si>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</si>
  <si>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</si>
  <si>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</si>
  <si>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</si>
  <si>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</si>
  <si>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</si>
  <si>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помещений, всего кв.м</t>
  </si>
  <si>
    <t>Всего,</t>
  </si>
  <si>
    <t>в том числе:</t>
  </si>
  <si>
    <t xml:space="preserve">                                                                      </t>
  </si>
  <si>
    <t>руб.</t>
  </si>
  <si>
    <t>руб</t>
  </si>
  <si>
    <t>жилых помещений</t>
  </si>
  <si>
    <t>нежилых помещений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</si>
  <si>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</si>
  <si>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</si>
  <si>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</si>
  <si>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</si>
  <si>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</si>
  <si>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</si>
  <si>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</si>
  <si>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</si>
  <si>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</si>
  <si>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</si>
  <si>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</si>
  <si>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</si>
  <si>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</si>
  <si>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</si>
  <si>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</si>
  <si>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</si>
  <si>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</si>
  <si>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(перечень согласно ПП</t>
  </si>
  <si>
    <t xml:space="preserve">устранение незначительных неисправностей </t>
  </si>
  <si>
    <t>РФ №290 от 03.04.2013г,</t>
  </si>
  <si>
    <t>в конструктивных элементах здания</t>
  </si>
  <si>
    <t>минимальная периодич.</t>
  </si>
  <si>
    <t xml:space="preserve">в соответствии с </t>
  </si>
  <si>
    <t>очистка кровли от мусора, грязи, и т.д.</t>
  </si>
  <si>
    <t>законодательством РФ)</t>
  </si>
  <si>
    <t>в системах  отопления, водоснабжения,</t>
  </si>
  <si>
    <t>Выполнено работ (оказано услуг)</t>
  </si>
  <si>
    <t>водоотведения, электроснабжения,</t>
  </si>
  <si>
    <t>Остаток д/ср-в(начисл-выполнено)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</si>
  <si>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</si>
  <si>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</si>
  <si>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</si>
  <si>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</si>
  <si>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Остаток д/ср-в(оплачено-выполнено)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</si>
  <si>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</si>
  <si>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</si>
  <si>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</si>
  <si>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II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</si>
  <si>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</si>
  <si>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</si>
  <si>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</si>
  <si>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</si>
  <si>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Примечание: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</si>
  <si>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</si>
  <si>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</si>
  <si>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</si>
  <si>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</si>
  <si>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</si>
  <si>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</si>
  <si>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</si>
  <si>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 xml:space="preserve">(перечень согласно ПП РФ №290 </t>
  </si>
  <si>
    <t>от 03.04.2013г., минимальная периодичность</t>
  </si>
  <si>
    <t>в соответствии с законодательством РФ)</t>
  </si>
  <si>
    <t>территории</t>
  </si>
  <si>
    <t>6.1. Уборка придомовой</t>
  </si>
  <si>
    <t>6.2. Уборка придомовой</t>
  </si>
  <si>
    <t>Подметание территории</t>
  </si>
  <si>
    <t>Итого содержание общего</t>
  </si>
  <si>
    <t xml:space="preserve">  имущества дома</t>
  </si>
  <si>
    <t>фонтана</t>
  </si>
  <si>
    <t>Круглосуточно</t>
  </si>
  <si>
    <t xml:space="preserve">Всего стоимость работ и услуг </t>
  </si>
  <si>
    <t xml:space="preserve"> по управлению и содержанию дома</t>
  </si>
  <si>
    <t>конструктивных</t>
  </si>
  <si>
    <t>В зимний период</t>
  </si>
  <si>
    <t xml:space="preserve">             Отчет </t>
  </si>
  <si>
    <t xml:space="preserve">          Отчет по затратам на  содержанию и текущий ремонт общего имущества  многоквартирного  дома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</si>
  <si>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</si>
  <si>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</si>
  <si>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</si>
  <si>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</si>
  <si>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</si>
  <si>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</si>
  <si>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</si>
  <si>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</si>
  <si>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</si>
  <si>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элементов здания</t>
  </si>
  <si>
    <t>Поступления от размещения оборудования связи,</t>
  </si>
  <si>
    <t>мытье лестничных площадок  и маршей,</t>
  </si>
  <si>
    <t>мытье полов кабины лифта,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</si>
  <si>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</si>
  <si>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</si>
  <si>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</si>
  <si>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</si>
  <si>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</si>
  <si>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</si>
  <si>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</si>
  <si>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</si>
  <si>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</si>
  <si>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</si>
  <si>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</si>
  <si>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</si>
  <si>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</si>
  <si>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</si>
  <si>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</si>
  <si>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</si>
  <si>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</si>
  <si>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</si>
  <si>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</si>
  <si>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</si>
  <si>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</si>
  <si>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</si>
  <si>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</si>
  <si>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</si>
  <si>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</si>
  <si>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</si>
  <si>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</si>
  <si>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</si>
  <si>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</si>
  <si>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</si>
  <si>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>1 раз в квартал</t>
  </si>
  <si>
    <t xml:space="preserve">      дезинсекция</t>
  </si>
  <si>
    <t>по заявке (1 раз в год)</t>
  </si>
  <si>
    <t>дизель-генераторных установок</t>
  </si>
  <si>
    <t>для повышения давления ХВ</t>
  </si>
  <si>
    <t>многоквартирным домом</t>
  </si>
  <si>
    <t>перерасчет</t>
  </si>
  <si>
    <t>остаток</t>
  </si>
  <si>
    <t>ж  ОРС</t>
  </si>
  <si>
    <t>застройщ</t>
  </si>
  <si>
    <t>коррект</t>
  </si>
  <si>
    <t>Олата ОРС</t>
  </si>
  <si>
    <t>7.Обслуживание лифтов</t>
  </si>
  <si>
    <t xml:space="preserve">10. Обслуживание </t>
  </si>
  <si>
    <t>11. Обслуживание установки</t>
  </si>
  <si>
    <t>8. Дератизация</t>
  </si>
  <si>
    <t xml:space="preserve">Обращение </t>
  </si>
  <si>
    <t>с ТКО</t>
  </si>
  <si>
    <t>п.4=п.1+п.2-п.3;  п.6=п.2-п.5;  п.7=п.3-п.5;  п.II=п.I+п.7</t>
  </si>
  <si>
    <t>мелкий ремонт  окон и дверей;</t>
  </si>
  <si>
    <t>перерасход</t>
  </si>
  <si>
    <t>Итого</t>
  </si>
  <si>
    <t>Итого:</t>
  </si>
  <si>
    <t>2.Техническое обслуживание</t>
  </si>
  <si>
    <t xml:space="preserve">внутридомовых инженерных </t>
  </si>
  <si>
    <t xml:space="preserve">сетей и обслуживание </t>
  </si>
  <si>
    <t xml:space="preserve">системы электроснабжения </t>
  </si>
  <si>
    <t>многоквартирного дома</t>
  </si>
  <si>
    <t>по содержанию</t>
  </si>
  <si>
    <t>помещений общего</t>
  </si>
  <si>
    <t>пользования</t>
  </si>
  <si>
    <t xml:space="preserve">5. Санитарные работы </t>
  </si>
  <si>
    <t xml:space="preserve"> участка входящего в </t>
  </si>
  <si>
    <t xml:space="preserve">состав общего </t>
  </si>
  <si>
    <t>имущества дома</t>
  </si>
  <si>
    <t>6. Уборка земельного</t>
  </si>
  <si>
    <t>контейнерной площадки</t>
  </si>
  <si>
    <t xml:space="preserve">9. Содержание </t>
  </si>
  <si>
    <t xml:space="preserve">12. Услуги по управлению </t>
  </si>
  <si>
    <t>1 Механизированная</t>
  </si>
  <si>
    <t>уборка придомовой территории</t>
  </si>
  <si>
    <t>с вывозом снега на отвал</t>
  </si>
  <si>
    <t>2. Услуги охранного предприятия</t>
  </si>
  <si>
    <t xml:space="preserve">По договору со спец. </t>
  </si>
  <si>
    <t>1 пост стационарный (24 ч)</t>
  </si>
  <si>
    <t>организацией</t>
  </si>
  <si>
    <t>2 пост с функциями территории (21 ч)</t>
  </si>
  <si>
    <t>3. Техническое обслуживание шлагбаума</t>
  </si>
  <si>
    <t xml:space="preserve"> (2 шт), калиток (3 шт), GSM модуля (1 шт)</t>
  </si>
  <si>
    <t>4. Тех.обслуж.</t>
  </si>
  <si>
    <t>видеонаблюдения</t>
  </si>
  <si>
    <t>5. Обслуживание</t>
  </si>
  <si>
    <t>Период: май-сентябрь</t>
  </si>
  <si>
    <t xml:space="preserve">6. Сервисное обслуживание </t>
  </si>
  <si>
    <t>Итого стоимость</t>
  </si>
  <si>
    <t>дополнительных услуг</t>
  </si>
  <si>
    <t>газонов и зеленых насаждений</t>
  </si>
  <si>
    <t>амортизация</t>
  </si>
  <si>
    <t xml:space="preserve">Разовый </t>
  </si>
  <si>
    <t>Текущий</t>
  </si>
  <si>
    <t>сбор</t>
  </si>
  <si>
    <t>ремонт</t>
  </si>
  <si>
    <t>ду</t>
  </si>
  <si>
    <t>Остаток средств от размещения</t>
  </si>
  <si>
    <t>оборудования связи</t>
  </si>
  <si>
    <t>перерасч</t>
  </si>
  <si>
    <t>ПЗСД Тек рем</t>
  </si>
  <si>
    <t>сж</t>
  </si>
  <si>
    <t>снег</t>
  </si>
  <si>
    <t>перерасчет по тарифу</t>
  </si>
  <si>
    <t>пер за недопоставку</t>
  </si>
  <si>
    <t>итого</t>
  </si>
  <si>
    <t>орс</t>
  </si>
  <si>
    <t>перерасчет за декабрь у нас прошел в декабре, в бух в январе 2024 года</t>
  </si>
  <si>
    <t>начисл  с уч перерасч</t>
  </si>
  <si>
    <t>К возмещению за 2023 год</t>
  </si>
  <si>
    <t>К возмещению за 2022 год</t>
  </si>
  <si>
    <t xml:space="preserve">   Отчет </t>
  </si>
  <si>
    <t>Ремонт оборудования фонтана</t>
  </si>
  <si>
    <t xml:space="preserve">                           о деятельности за отчетный период с 01.01.2024г. по 30.04.2024 г.</t>
  </si>
  <si>
    <t xml:space="preserve">                           о деятельности за отчетный период с 01.05.2024г. по 31.12.2024 г.</t>
  </si>
  <si>
    <t>ост с уч вып раб</t>
  </si>
  <si>
    <t>работы</t>
  </si>
  <si>
    <t>3272,25 перерасчет, 2979,289 остаток</t>
  </si>
  <si>
    <t>99,31 перерасчет, 23834,30 остаток</t>
  </si>
  <si>
    <t xml:space="preserve">Приобретение и замена светильников светодиодных  (10 шт). </t>
  </si>
  <si>
    <t>13118,75 руб ПОС Разовый сбор, 6737,35 руб Аренда</t>
  </si>
  <si>
    <t xml:space="preserve">Ремонт деформационных швов по адресу: </t>
  </si>
  <si>
    <t>МКД № 96/4 по ул. Кубовой, кв. 193 (4 пог.м.)</t>
  </si>
  <si>
    <t xml:space="preserve">Приобретение светодиодного светильника для </t>
  </si>
  <si>
    <t>установки в лифте № B7NH6295</t>
  </si>
  <si>
    <t xml:space="preserve">Приобретение и замена мотора-редуктора </t>
  </si>
  <si>
    <t>шлагбаума на КПП № 3</t>
  </si>
  <si>
    <t>Замена модуля частотного преобразователя главного привода лифта 2 шт, ремонт платы частотного преобразователя, проведение диагностики</t>
  </si>
  <si>
    <t>ПОС Разовый сбор</t>
  </si>
  <si>
    <t>Приобретение табло индикации кабины лифта (1 шт) для замены. Подъезд № 3</t>
  </si>
  <si>
    <t>ПЗСД Тек рем. Оплата материалов. Необходимо отразить выполнение работ</t>
  </si>
  <si>
    <t>Установка контактора марки CHINT NC 2 - 115 в шкафу</t>
  </si>
  <si>
    <t>АВР 1 взамен вышедшего из строя (Акт выполненных работ от 25.01.2024 г)</t>
  </si>
  <si>
    <t>11048,89 в тарифе (в акте не прописываем)</t>
  </si>
  <si>
    <t xml:space="preserve">Отбивка разрушающегося кирпича на фасаде </t>
  </si>
  <si>
    <t>жилого дома (Акт выполненных работ от 20.06.2024 г)</t>
  </si>
  <si>
    <t>ОШИБОЧНО ВНЕСЛА (96/2)</t>
  </si>
  <si>
    <t>Подъезды № 1, 2, 3, 4 (Итоговая сумма 19856,10 рублей)</t>
  </si>
  <si>
    <t>35875,59 перер</t>
  </si>
  <si>
    <t>-35254,908 перерасх</t>
  </si>
  <si>
    <t>Остаток д/ср-в на 01.01.2024г</t>
  </si>
  <si>
    <t>ремонт-2</t>
  </si>
  <si>
    <t>Замена</t>
  </si>
  <si>
    <t>светильников</t>
  </si>
  <si>
    <t>модуля</t>
  </si>
  <si>
    <t>част преоб</t>
  </si>
  <si>
    <t>("-"   перевыполнено работ; "+"  недовыполнено работ)</t>
  </si>
  <si>
    <t>К возмещению за 2024 год</t>
  </si>
  <si>
    <t>Убыток УК за период 01.01.2022г -31.03.2024г. (К возмещению)</t>
  </si>
  <si>
    <t>нач</t>
  </si>
  <si>
    <t>янв-апр</t>
  </si>
  <si>
    <t>май-дек</t>
  </si>
  <si>
    <t>э/э сои</t>
  </si>
  <si>
    <t xml:space="preserve">2. Охранные услуги комплекса (КПП, </t>
  </si>
  <si>
    <t xml:space="preserve">шлагбаум, видеонаблюдение, калитки, </t>
  </si>
  <si>
    <t>тревожная сигнализация)</t>
  </si>
  <si>
    <t>3. Обслуживание</t>
  </si>
  <si>
    <t xml:space="preserve">4. Сервисное обслуживание </t>
  </si>
  <si>
    <t>И. о. генерального директора ООО "УК "Светлая Роща"                                            М.В. Кулешова</t>
  </si>
  <si>
    <t xml:space="preserve">                           о деятельности за отчетный период с 01.01.2024г. по 31.12.2024г.</t>
  </si>
  <si>
    <t>Задолженность на 01.01.2024г.</t>
  </si>
  <si>
    <t>Начислено  с 01.01.24 по 31.12.24</t>
  </si>
  <si>
    <t>Оплачено  с01.01.24 по 31.12.24</t>
  </si>
  <si>
    <t>Задолженность на 31.12.2024г.</t>
  </si>
  <si>
    <t>Остаток д/ср-в на 31.12.2024г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</si>
</sst>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  <font>
      <b/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2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4" xfId="0" applyFont="1" applyBorder="1"/>
    <xf numFmtId="0" fontId="5" fillId="0" borderId="12" xfId="0" applyFont="1" applyBorder="1"/>
    <xf numFmtId="0" fontId="5" fillId="0" borderId="14" xfId="0" applyFont="1" applyBorder="1" applyAlignment="1">
      <alignment horizontal="center"/>
    </xf>
    <xf numFmtId="0" fontId="5" fillId="0" borderId="35" xfId="0" applyFont="1" applyBorder="1"/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9" xfId="0" applyFont="1" applyBorder="1"/>
    <xf numFmtId="0" fontId="5" fillId="0" borderId="24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7" fillId="0" borderId="34" xfId="0" applyFont="1" applyBorder="1"/>
    <xf numFmtId="2" fontId="7" fillId="0" borderId="11" xfId="0" applyNumberFormat="1" applyFont="1" applyBorder="1" applyAlignment="1">
      <alignment horizontal="center"/>
    </xf>
    <xf numFmtId="0" fontId="7" fillId="0" borderId="42" xfId="0" applyFont="1" applyBorder="1"/>
    <xf numFmtId="0" fontId="5" fillId="0" borderId="43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/>
    </xf>
    <xf numFmtId="0" fontId="7" fillId="0" borderId="35" xfId="0" applyFont="1" applyBorder="1"/>
    <xf numFmtId="0" fontId="5" fillId="0" borderId="39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6" fillId="0" borderId="42" xfId="0" applyFont="1" applyBorder="1"/>
    <xf numFmtId="2" fontId="5" fillId="0" borderId="21" xfId="0" applyNumberFormat="1" applyFont="1" applyBorder="1" applyAlignment="1">
      <alignment horizontal="center"/>
    </xf>
    <xf numFmtId="0" fontId="5" fillId="0" borderId="42" xfId="0" applyFont="1" applyBorder="1"/>
    <xf numFmtId="2" fontId="7" fillId="0" borderId="33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9" fillId="0" borderId="42" xfId="0" applyFont="1" applyBorder="1"/>
    <xf numFmtId="2" fontId="7" fillId="0" borderId="18" xfId="0" applyNumberFormat="1" applyFont="1" applyBorder="1" applyAlignment="1">
      <alignment horizontal="center"/>
    </xf>
    <xf numFmtId="0" fontId="9" fillId="0" borderId="35" xfId="0" applyFont="1" applyBorder="1"/>
    <xf numFmtId="2" fontId="7" fillId="0" borderId="47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7" fillId="0" borderId="38" xfId="0" applyNumberFormat="1" applyFont="1" applyBorder="1" applyAlignment="1">
      <alignment horizontal="center"/>
    </xf>
    <xf numFmtId="0" fontId="6" fillId="0" borderId="34" xfId="0" applyFont="1" applyBorder="1"/>
    <xf numFmtId="2" fontId="7" fillId="0" borderId="42" xfId="0" applyNumberFormat="1" applyFont="1" applyBorder="1" applyAlignment="1">
      <alignment horizontal="center"/>
    </xf>
    <xf numFmtId="0" fontId="5" fillId="0" borderId="43" xfId="0" applyFont="1" applyBorder="1"/>
    <xf numFmtId="0" fontId="7" fillId="0" borderId="49" xfId="0" applyFont="1" applyBorder="1"/>
    <xf numFmtId="0" fontId="5" fillId="0" borderId="16" xfId="0" applyFont="1" applyBorder="1"/>
    <xf numFmtId="0" fontId="6" fillId="0" borderId="34" xfId="0" applyFont="1" applyBorder="1" applyAlignment="1">
      <alignment horizontal="left"/>
    </xf>
    <xf numFmtId="2" fontId="7" fillId="0" borderId="20" xfId="0" applyNumberFormat="1" applyFont="1" applyBorder="1" applyAlignment="1">
      <alignment horizontal="center"/>
    </xf>
    <xf numFmtId="2" fontId="0" fillId="0" borderId="0" xfId="0" applyNumberFormat="1"/>
    <xf numFmtId="0" fontId="6" fillId="0" borderId="4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4" xfId="0" applyFont="1" applyBorder="1"/>
    <xf numFmtId="0" fontId="5" fillId="0" borderId="3" xfId="0" applyFont="1" applyBorder="1"/>
    <xf numFmtId="2" fontId="7" fillId="0" borderId="55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43" xfId="0" applyFont="1" applyFill="1" applyBorder="1"/>
    <xf numFmtId="0" fontId="7" fillId="0" borderId="12" xfId="0" applyFont="1" applyFill="1" applyBorder="1"/>
    <xf numFmtId="0" fontId="10" fillId="0" borderId="12" xfId="0" applyFont="1" applyFill="1" applyBorder="1"/>
    <xf numFmtId="0" fontId="7" fillId="0" borderId="12" xfId="0" applyFont="1" applyBorder="1"/>
    <xf numFmtId="0" fontId="7" fillId="0" borderId="34" xfId="0" applyFont="1" applyFill="1" applyBorder="1"/>
    <xf numFmtId="0" fontId="7" fillId="0" borderId="12" xfId="0" applyFont="1" applyBorder="1" applyAlignment="1">
      <alignment horizontal="center"/>
    </xf>
    <xf numFmtId="2" fontId="7" fillId="0" borderId="34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2" fontId="7" fillId="0" borderId="35" xfId="0" applyNumberFormat="1" applyFont="1" applyBorder="1" applyAlignment="1">
      <alignment horizontal="center"/>
    </xf>
    <xf numFmtId="2" fontId="7" fillId="0" borderId="48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7" fillId="0" borderId="43" xfId="0" applyFont="1" applyBorder="1"/>
    <xf numFmtId="2" fontId="7" fillId="0" borderId="49" xfId="0" applyNumberFormat="1" applyFont="1" applyBorder="1"/>
    <xf numFmtId="2" fontId="7" fillId="0" borderId="50" xfId="0" applyNumberFormat="1" applyFont="1" applyBorder="1"/>
    <xf numFmtId="2" fontId="5" fillId="0" borderId="10" xfId="0" applyNumberFormat="1" applyFont="1" applyBorder="1" applyAlignment="1">
      <alignment horizontal="center"/>
    </xf>
    <xf numFmtId="2" fontId="5" fillId="0" borderId="38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40" xfId="0" applyNumberFormat="1" applyFont="1" applyBorder="1" applyAlignment="1">
      <alignment horizontal="center"/>
    </xf>
    <xf numFmtId="2" fontId="7" fillId="0" borderId="40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5" fillId="0" borderId="38" xfId="0" applyFont="1" applyBorder="1"/>
    <xf numFmtId="2" fontId="5" fillId="0" borderId="41" xfId="0" applyNumberFormat="1" applyFont="1" applyBorder="1" applyAlignment="1">
      <alignment horizontal="center"/>
    </xf>
    <xf numFmtId="2" fontId="7" fillId="0" borderId="51" xfId="0" applyNumberFormat="1" applyFont="1" applyBorder="1"/>
    <xf numFmtId="0" fontId="5" fillId="0" borderId="59" xfId="0" applyFont="1" applyBorder="1"/>
    <xf numFmtId="0" fontId="5" fillId="0" borderId="56" xfId="0" applyFont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2" fontId="6" fillId="0" borderId="18" xfId="0" applyNumberFormat="1" applyFont="1" applyFill="1" applyBorder="1" applyAlignment="1">
      <alignment horizontal="center"/>
    </xf>
    <xf numFmtId="2" fontId="6" fillId="0" borderId="44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/>
    <xf numFmtId="2" fontId="6" fillId="0" borderId="22" xfId="0" applyNumberFormat="1" applyFont="1" applyFill="1" applyBorder="1" applyAlignment="1">
      <alignment horizontal="center"/>
    </xf>
    <xf numFmtId="165" fontId="7" fillId="0" borderId="4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0" fillId="0" borderId="0" xfId="0" applyNumberFormat="1" applyFill="1"/>
    <xf numFmtId="2" fontId="3" fillId="0" borderId="36" xfId="0" applyNumberFormat="1" applyFont="1" applyFill="1" applyBorder="1"/>
    <xf numFmtId="0" fontId="3" fillId="0" borderId="36" xfId="0" applyFont="1" applyFill="1" applyBorder="1"/>
    <xf numFmtId="0" fontId="7" fillId="0" borderId="49" xfId="0" applyFont="1" applyFill="1" applyBorder="1"/>
    <xf numFmtId="0" fontId="5" fillId="0" borderId="16" xfId="0" applyFont="1" applyFill="1" applyBorder="1"/>
    <xf numFmtId="0" fontId="7" fillId="0" borderId="50" xfId="0" applyFont="1" applyFill="1" applyBorder="1"/>
    <xf numFmtId="0" fontId="7" fillId="0" borderId="51" xfId="0" applyFont="1" applyFill="1" applyBorder="1"/>
    <xf numFmtId="0" fontId="6" fillId="0" borderId="3" xfId="0" applyFont="1" applyFill="1" applyBorder="1"/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3" xfId="0" applyFont="1" applyFill="1" applyBorder="1"/>
    <xf numFmtId="0" fontId="6" fillId="0" borderId="55" xfId="0" applyFont="1" applyFill="1" applyBorder="1"/>
    <xf numFmtId="0" fontId="6" fillId="0" borderId="16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12" xfId="0" applyFont="1" applyFill="1" applyBorder="1"/>
    <xf numFmtId="2" fontId="7" fillId="0" borderId="40" xfId="0" applyNumberFormat="1" applyFont="1" applyFill="1" applyBorder="1" applyAlignment="1">
      <alignment horizontal="center"/>
    </xf>
    <xf numFmtId="0" fontId="6" fillId="0" borderId="19" xfId="0" applyFont="1" applyFill="1" applyBorder="1"/>
    <xf numFmtId="2" fontId="7" fillId="0" borderId="4" xfId="0" applyNumberFormat="1" applyFont="1" applyBorder="1" applyAlignment="1">
      <alignment horizontal="center"/>
    </xf>
    <xf numFmtId="0" fontId="5" fillId="0" borderId="9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0" borderId="43" xfId="0" applyFont="1" applyFill="1" applyBorder="1"/>
    <xf numFmtId="0" fontId="7" fillId="0" borderId="47" xfId="0" applyFont="1" applyFill="1" applyBorder="1"/>
    <xf numFmtId="0" fontId="7" fillId="0" borderId="48" xfId="0" applyFont="1" applyFill="1" applyBorder="1"/>
    <xf numFmtId="0" fontId="6" fillId="0" borderId="34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2" fontId="6" fillId="0" borderId="32" xfId="0" applyNumberFormat="1" applyFont="1" applyFill="1" applyBorder="1" applyAlignment="1"/>
    <xf numFmtId="0" fontId="7" fillId="0" borderId="15" xfId="0" applyFont="1" applyFill="1" applyBorder="1"/>
    <xf numFmtId="0" fontId="7" fillId="0" borderId="11" xfId="0" applyFont="1" applyFill="1" applyBorder="1"/>
    <xf numFmtId="0" fontId="6" fillId="0" borderId="10" xfId="0" applyFont="1" applyFill="1" applyBorder="1" applyAlignment="1">
      <alignment horizontal="center"/>
    </xf>
    <xf numFmtId="2" fontId="5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166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6" fillId="0" borderId="13" xfId="0" applyFont="1" applyFill="1" applyBorder="1"/>
    <xf numFmtId="0" fontId="6" fillId="0" borderId="39" xfId="0" applyFont="1" applyFill="1" applyBorder="1"/>
    <xf numFmtId="2" fontId="6" fillId="0" borderId="3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2" fontId="6" fillId="0" borderId="46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46" xfId="0" applyFont="1" applyFill="1" applyBorder="1"/>
    <xf numFmtId="0" fontId="7" fillId="0" borderId="30" xfId="0" applyFont="1" applyFill="1" applyBorder="1"/>
    <xf numFmtId="2" fontId="2" fillId="0" borderId="36" xfId="0" applyNumberFormat="1" applyFont="1" applyFill="1" applyBorder="1"/>
    <xf numFmtId="0" fontId="6" fillId="0" borderId="32" xfId="0" applyFont="1" applyFill="1" applyBorder="1" applyAlignment="1">
      <alignment horizontal="right"/>
    </xf>
    <xf numFmtId="2" fontId="6" fillId="0" borderId="54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4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/>
    <xf numFmtId="0" fontId="5" fillId="0" borderId="2" xfId="0" applyFont="1" applyFill="1" applyBorder="1"/>
    <xf numFmtId="0" fontId="3" fillId="0" borderId="23" xfId="0" applyFont="1" applyFill="1" applyBorder="1"/>
    <xf numFmtId="0" fontId="3" fillId="0" borderId="52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53" xfId="0" applyFont="1" applyFill="1" applyBorder="1"/>
    <xf numFmtId="2" fontId="2" fillId="0" borderId="26" xfId="0" applyNumberFormat="1" applyFont="1" applyFill="1" applyBorder="1"/>
    <xf numFmtId="0" fontId="3" fillId="0" borderId="26" xfId="0" applyFont="1" applyFill="1" applyBorder="1"/>
    <xf numFmtId="2" fontId="3" fillId="0" borderId="26" xfId="0" applyNumberFormat="1" applyFont="1" applyFill="1" applyBorder="1"/>
    <xf numFmtId="0" fontId="3" fillId="0" borderId="2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3" fillId="0" borderId="17" xfId="0" applyFont="1" applyFill="1" applyBorder="1"/>
    <xf numFmtId="0" fontId="3" fillId="0" borderId="3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11" xfId="0" applyFont="1" applyFill="1" applyBorder="1" applyAlignment="1">
      <alignment horizontal="center"/>
    </xf>
    <xf numFmtId="0" fontId="5" fillId="0" borderId="24" xfId="0" applyFont="1" applyFill="1" applyBorder="1"/>
    <xf numFmtId="0" fontId="3" fillId="0" borderId="31" xfId="0" applyFont="1" applyFill="1" applyBorder="1"/>
    <xf numFmtId="2" fontId="3" fillId="0" borderId="37" xfId="0" applyNumberFormat="1" applyFont="1" applyFill="1" applyBorder="1"/>
    <xf numFmtId="0" fontId="5" fillId="0" borderId="22" xfId="0" applyFont="1" applyFill="1" applyBorder="1"/>
    <xf numFmtId="0" fontId="5" fillId="0" borderId="28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0" fontId="5" fillId="0" borderId="34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59" xfId="0" applyFont="1" applyFill="1" applyBorder="1"/>
    <xf numFmtId="0" fontId="5" fillId="0" borderId="5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8" xfId="0" applyFont="1" applyFill="1" applyBorder="1"/>
    <xf numFmtId="0" fontId="5" fillId="0" borderId="35" xfId="0" applyFont="1" applyFill="1" applyBorder="1"/>
    <xf numFmtId="0" fontId="5" fillId="0" borderId="39" xfId="0" applyFont="1" applyFill="1" applyBorder="1"/>
    <xf numFmtId="0" fontId="5" fillId="0" borderId="24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7" fillId="0" borderId="41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5" fillId="0" borderId="38" xfId="0" applyNumberFormat="1" applyFont="1" applyFill="1" applyBorder="1" applyAlignment="1">
      <alignment horizontal="center"/>
    </xf>
    <xf numFmtId="0" fontId="3" fillId="0" borderId="37" xfId="0" applyFont="1" applyFill="1" applyBorder="1"/>
    <xf numFmtId="0" fontId="6" fillId="0" borderId="17" xfId="0" applyFont="1" applyFill="1" applyBorder="1"/>
    <xf numFmtId="0" fontId="2" fillId="0" borderId="17" xfId="0" applyFont="1" applyFill="1" applyBorder="1"/>
    <xf numFmtId="0" fontId="5" fillId="0" borderId="43" xfId="0" applyFont="1" applyFill="1" applyBorder="1" applyAlignment="1">
      <alignment horizontal="center" vertical="center"/>
    </xf>
    <xf numFmtId="2" fontId="7" fillId="0" borderId="2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8" fillId="0" borderId="17" xfId="0" applyFont="1" applyFill="1" applyBorder="1"/>
    <xf numFmtId="0" fontId="2" fillId="0" borderId="31" xfId="0" applyFont="1" applyFill="1" applyBorder="1" applyAlignment="1">
      <alignment horizontal="center"/>
    </xf>
    <xf numFmtId="164" fontId="2" fillId="0" borderId="36" xfId="0" applyNumberFormat="1" applyFont="1" applyFill="1" applyBorder="1"/>
    <xf numFmtId="0" fontId="3" fillId="0" borderId="57" xfId="0" applyFont="1" applyFill="1" applyBorder="1"/>
    <xf numFmtId="2" fontId="5" fillId="0" borderId="24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2" fontId="5" fillId="0" borderId="40" xfId="0" applyNumberFormat="1" applyFont="1" applyFill="1" applyBorder="1" applyAlignment="1">
      <alignment horizontal="center"/>
    </xf>
    <xf numFmtId="0" fontId="7" fillId="0" borderId="42" xfId="0" applyFont="1" applyFill="1" applyBorder="1"/>
    <xf numFmtId="0" fontId="5" fillId="0" borderId="43" xfId="0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0" fontId="3" fillId="0" borderId="44" xfId="0" applyFont="1" applyFill="1" applyBorder="1"/>
    <xf numFmtId="0" fontId="3" fillId="0" borderId="45" xfId="0" applyFont="1" applyFill="1" applyBorder="1"/>
    <xf numFmtId="2" fontId="3" fillId="0" borderId="45" xfId="0" applyNumberFormat="1" applyFont="1" applyFill="1" applyBorder="1"/>
    <xf numFmtId="2" fontId="3" fillId="0" borderId="46" xfId="0" applyNumberFormat="1" applyFont="1" applyFill="1" applyBorder="1"/>
    <xf numFmtId="0" fontId="7" fillId="0" borderId="35" xfId="0" applyFont="1" applyFill="1" applyBorder="1"/>
    <xf numFmtId="0" fontId="5" fillId="0" borderId="39" xfId="0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0" fontId="6" fillId="0" borderId="42" xfId="0" applyFont="1" applyFill="1" applyBorder="1"/>
    <xf numFmtId="2" fontId="5" fillId="0" borderId="18" xfId="0" applyNumberFormat="1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2" fontId="5" fillId="0" borderId="41" xfId="0" applyNumberFormat="1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4" xfId="0" applyFont="1" applyFill="1" applyBorder="1" applyAlignment="1">
      <alignment horizontal="left"/>
    </xf>
    <xf numFmtId="0" fontId="5" fillId="0" borderId="42" xfId="0" applyFont="1" applyFill="1" applyBorder="1"/>
    <xf numFmtId="2" fontId="7" fillId="0" borderId="33" xfId="0" applyNumberFormat="1" applyFont="1" applyFill="1" applyBorder="1" applyAlignment="1">
      <alignment horizontal="center"/>
    </xf>
    <xf numFmtId="2" fontId="7" fillId="0" borderId="14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9" fillId="0" borderId="42" xfId="0" applyFont="1" applyFill="1" applyBorder="1"/>
    <xf numFmtId="2" fontId="7" fillId="0" borderId="42" xfId="0" applyNumberFormat="1" applyFont="1" applyFill="1" applyBorder="1" applyAlignment="1">
      <alignment horizontal="center"/>
    </xf>
    <xf numFmtId="0" fontId="9" fillId="0" borderId="35" xfId="0" applyFont="1" applyFill="1" applyBorder="1"/>
    <xf numFmtId="2" fontId="7" fillId="0" borderId="35" xfId="0" applyNumberFormat="1" applyFont="1" applyFill="1" applyBorder="1" applyAlignment="1">
      <alignment horizontal="center"/>
    </xf>
    <xf numFmtId="2" fontId="7" fillId="0" borderId="48" xfId="0" applyNumberFormat="1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7" fillId="0" borderId="34" xfId="0" applyNumberFormat="1" applyFont="1" applyFill="1" applyBorder="1" applyAlignment="1">
      <alignment horizontal="center"/>
    </xf>
    <xf numFmtId="2" fontId="7" fillId="0" borderId="47" xfId="0" applyNumberFormat="1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6" fontId="7" fillId="0" borderId="38" xfId="0" applyNumberFormat="1" applyFont="1" applyFill="1" applyBorder="1" applyAlignment="1">
      <alignment horizontal="center"/>
    </xf>
    <xf numFmtId="166" fontId="7" fillId="0" borderId="41" xfId="0" applyNumberFormat="1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center"/>
    </xf>
    <xf numFmtId="0" fontId="5" fillId="0" borderId="43" xfId="0" applyFont="1" applyFill="1" applyBorder="1"/>
    <xf numFmtId="2" fontId="7" fillId="0" borderId="49" xfId="0" applyNumberFormat="1" applyFont="1" applyFill="1" applyBorder="1"/>
    <xf numFmtId="2" fontId="7" fillId="0" borderId="50" xfId="0" applyNumberFormat="1" applyFont="1" applyFill="1" applyBorder="1"/>
    <xf numFmtId="2" fontId="7" fillId="0" borderId="51" xfId="0" applyNumberFormat="1" applyFont="1" applyFill="1" applyBorder="1"/>
    <xf numFmtId="2" fontId="7" fillId="0" borderId="55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6" fillId="0" borderId="35" xfId="0" applyFont="1" applyFill="1" applyBorder="1" applyAlignment="1">
      <alignment horizontal="center"/>
    </xf>
    <xf numFmtId="2" fontId="6" fillId="0" borderId="42" xfId="0" applyNumberFormat="1" applyFont="1" applyFill="1" applyBorder="1" applyAlignment="1">
      <alignment horizontal="center"/>
    </xf>
    <xf numFmtId="0" fontId="6" fillId="0" borderId="58" xfId="0" applyFont="1" applyFill="1" applyBorder="1"/>
    <xf numFmtId="2" fontId="6" fillId="0" borderId="60" xfId="0" applyNumberFormat="1" applyFont="1" applyFill="1" applyBorder="1" applyAlignment="1">
      <alignment horizontal="center"/>
    </xf>
    <xf numFmtId="0" fontId="11" fillId="0" borderId="3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12" xfId="0" applyFont="1" applyFill="1" applyBorder="1"/>
    <xf numFmtId="0" fontId="12" fillId="0" borderId="0" xfId="0" applyFont="1" applyFill="1"/>
    <xf numFmtId="0" fontId="12" fillId="0" borderId="1" xfId="0" applyFont="1" applyFill="1" applyBorder="1"/>
    <xf numFmtId="0" fontId="12" fillId="0" borderId="10" xfId="0" applyFont="1" applyFill="1" applyBorder="1"/>
    <xf numFmtId="2" fontId="12" fillId="0" borderId="0" xfId="0" applyNumberFormat="1" applyFont="1" applyFill="1"/>
    <xf numFmtId="49" fontId="12" fillId="0" borderId="0" xfId="0" applyNumberFormat="1" applyFont="1" applyFill="1"/>
    <xf numFmtId="0" fontId="12" fillId="0" borderId="22" xfId="0" applyFont="1" applyFill="1" applyBorder="1"/>
    <xf numFmtId="0" fontId="12" fillId="0" borderId="36" xfId="0" applyFont="1" applyFill="1" applyBorder="1"/>
    <xf numFmtId="0" fontId="12" fillId="0" borderId="0" xfId="0" applyFont="1" applyFill="1" applyBorder="1"/>
    <xf numFmtId="164" fontId="12" fillId="0" borderId="0" xfId="0" applyNumberFormat="1" applyFont="1" applyFill="1"/>
    <xf numFmtId="0" fontId="13" fillId="0" borderId="0" xfId="0" applyFont="1" applyFill="1"/>
    <xf numFmtId="2" fontId="13" fillId="0" borderId="0" xfId="0" applyNumberFormat="1" applyFont="1" applyFill="1"/>
    <xf numFmtId="0" fontId="6" fillId="0" borderId="4" xfId="0" applyFont="1" applyFill="1" applyBorder="1"/>
    <xf numFmtId="2" fontId="12" fillId="0" borderId="2" xfId="0" applyNumberFormat="1" applyFont="1" applyFill="1" applyBorder="1"/>
    <xf numFmtId="0" fontId="12" fillId="0" borderId="24" xfId="0" applyFont="1" applyFill="1" applyBorder="1"/>
    <xf numFmtId="2" fontId="12" fillId="0" borderId="15" xfId="0" applyNumberFormat="1" applyFont="1" applyFill="1" applyBorder="1"/>
    <xf numFmtId="0" fontId="12" fillId="0" borderId="18" xfId="0" applyFont="1" applyFill="1" applyBorder="1"/>
    <xf numFmtId="2" fontId="12" fillId="0" borderId="21" xfId="0" applyNumberFormat="1" applyFont="1" applyFill="1" applyBorder="1"/>
    <xf numFmtId="0" fontId="6" fillId="0" borderId="58" xfId="0" applyFont="1" applyFill="1" applyBorder="1" applyAlignment="1">
      <alignment wrapText="1"/>
    </xf>
    <xf numFmtId="0" fontId="12" fillId="0" borderId="44" xfId="0" applyFont="1" applyFill="1" applyBorder="1"/>
    <xf numFmtId="2" fontId="12" fillId="0" borderId="30" xfId="0" applyNumberFormat="1" applyFont="1" applyFill="1" applyBorder="1"/>
    <xf numFmtId="0" fontId="12" fillId="0" borderId="2" xfId="0" applyFont="1" applyFill="1" applyBorder="1"/>
    <xf numFmtId="0" fontId="13" fillId="0" borderId="1" xfId="0" applyFont="1" applyFill="1" applyBorder="1"/>
    <xf numFmtId="0" fontId="6" fillId="0" borderId="35" xfId="0" applyFont="1" applyFill="1" applyBorder="1"/>
    <xf numFmtId="0" fontId="6" fillId="0" borderId="48" xfId="0" applyFont="1" applyFill="1" applyBorder="1"/>
    <xf numFmtId="0" fontId="13" fillId="0" borderId="0" xfId="0" applyFont="1" applyFill="1" applyBorder="1"/>
    <xf numFmtId="0" fontId="13" fillId="0" borderId="43" xfId="0" applyFont="1" applyFill="1" applyBorder="1"/>
    <xf numFmtId="0" fontId="13" fillId="0" borderId="42" xfId="0" applyFont="1" applyFill="1" applyBorder="1"/>
    <xf numFmtId="0" fontId="13" fillId="0" borderId="33" xfId="0" applyFont="1" applyFill="1" applyBorder="1"/>
    <xf numFmtId="0" fontId="13" fillId="0" borderId="16" xfId="0" applyFont="1" applyFill="1" applyBorder="1"/>
    <xf numFmtId="0" fontId="13" fillId="0" borderId="49" xfId="0" applyFont="1" applyFill="1" applyBorder="1"/>
    <xf numFmtId="0" fontId="13" fillId="0" borderId="50" xfId="0" applyFont="1" applyFill="1" applyBorder="1"/>
    <xf numFmtId="2" fontId="12" fillId="0" borderId="23" xfId="0" applyNumberFormat="1" applyFont="1" applyFill="1" applyBorder="1"/>
    <xf numFmtId="0" fontId="3" fillId="0" borderId="0" xfId="0" applyFont="1" applyFill="1"/>
    <xf numFmtId="0" fontId="3" fillId="0" borderId="0" xfId="0" applyFont="1" applyFill="1"/>
    <xf numFmtId="0" fontId="3" fillId="0" borderId="0" xfId="0" applyFont="1" applyFill="1"/>
    <xf numFmtId="0" fontId="14" fillId="0" borderId="0" xfId="0" applyFont="1" applyFill="1"/>
    <xf numFmtId="2" fontId="14" fillId="0" borderId="0" xfId="0" applyNumberFormat="1" applyFont="1" applyFill="1"/>
    <xf numFmtId="166" fontId="14" fillId="0" borderId="0" xfId="0" applyNumberFormat="1" applyFont="1" applyFill="1"/>
    <xf numFmtId="2" fontId="15" fillId="0" borderId="0" xfId="0" applyNumberFormat="1" applyFont="1" applyFill="1"/>
    <xf numFmtId="164" fontId="14" fillId="0" borderId="0" xfId="0" applyNumberFormat="1" applyFont="1" applyFill="1"/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2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2" fontId="14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/>
    <xf numFmtId="49" fontId="14" fillId="0" borderId="0" xfId="0" applyNumberFormat="1" applyFont="1" applyFill="1" applyAlignment="1">
      <alignment horizontal="right"/>
    </xf>
    <xf numFmtId="49" fontId="14" fillId="0" borderId="0" xfId="0" applyNumberFormat="1" applyFont="1" applyFill="1"/>
    <xf numFmtId="0" fontId="14" fillId="0" borderId="0" xfId="0" applyFont="1" applyFill="1" applyAlignment="1">
      <alignment horizontal="right"/>
    </xf>
    <xf numFmtId="2" fontId="17" fillId="0" borderId="0" xfId="0" applyNumberFormat="1" applyFont="1" applyFill="1"/>
    <xf numFmtId="165" fontId="14" fillId="0" borderId="0" xfId="0" applyNumberFormat="1" applyFont="1" applyFill="1"/>
    <xf numFmtId="0" fontId="14" fillId="0" borderId="0" xfId="0" applyFont="1" applyFill="1" applyBorder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2" fontId="15" fillId="0" borderId="0" xfId="0" applyNumberFormat="1" applyFont="1" applyAlignment="1">
      <alignment horizontal="left"/>
    </xf>
    <xf numFmtId="0" fontId="15" fillId="2" borderId="0" xfId="0" applyFont="1" applyFill="1" applyAlignment="1">
      <alignment horizontal="left"/>
    </xf>
    <xf numFmtId="2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8" fillId="0" borderId="0" xfId="0" applyFont="1" applyFill="1"/>
    <xf numFmtId="0" fontId="14" fillId="0" borderId="0" xfId="0" applyFont="1"/>
    <xf numFmtId="165" fontId="14" fillId="0" borderId="0" xfId="0" applyNumberFormat="1" applyFont="1"/>
    <xf numFmtId="2" fontId="14" fillId="0" borderId="0" xfId="0" applyNumberFormat="1" applyFont="1"/>
    <xf numFmtId="0" fontId="2" fillId="0" borderId="61" xfId="0" applyFont="1" applyFill="1" applyBorder="1"/>
    <xf numFmtId="0" fontId="7" fillId="0" borderId="61" xfId="0" applyFont="1" applyFill="1" applyBorder="1"/>
    <xf numFmtId="0" fontId="6" fillId="0" borderId="32" xfId="0" applyFont="1" applyFill="1" applyBorder="1" applyAlignment="1">
      <alignment horizontal="center"/>
    </xf>
    <xf numFmtId="0" fontId="6" fillId="0" borderId="5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01\FIN\&#1054;&#1090;&#1095;&#1077;&#1090;&#1099;%20&#1075;&#1086;&#1076;&#1086;&#1074;&#1099;&#1077;\&#1054;&#1090;&#1095;&#1077;&#1090;%202019%20-%20&#1057;&#1042;&#1045;&#1058;&#1051;&#1040;&#1071;%20&#1056;&#1054;&#1065;&#1040;\96%20%204%20&#1086;&#1090;&#1095;&#1077;&#1090;%202017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2016 (застр)"/>
      <sheetName val="Отчет 2016 ( УК) "/>
      <sheetName val="2017 (ДГУ декаб)"/>
      <sheetName val="2017"/>
      <sheetName val="2018"/>
      <sheetName val="2019"/>
      <sheetName val="2019 (отч)"/>
      <sheetName val="2020"/>
      <sheetName val="2021"/>
      <sheetName val="2022"/>
      <sheetName val="янв-март 2023"/>
      <sheetName val="отч янв-март 2023 факт тариф "/>
      <sheetName val="отч апр-дек 2023"/>
      <sheetName val="янв-апр 2024"/>
      <sheetName val="май-дек 2024"/>
      <sheetName val="2022 (коррект для отч 2023)"/>
      <sheetName val="Лист1"/>
      <sheetName val="Лист1 (2)"/>
      <sheetName val="доход от провайдеров"/>
      <sheetName val="доход от провайдеров (2)"/>
      <sheetName val="Перечень выполненных работ"/>
      <sheetName val="Переч выполн раб(для ответа)"/>
      <sheetName val="Переч выполн раб(для ответа (2)"/>
      <sheetName val="2022 (доголос)"/>
      <sheetName val="2022 (анализ доголос-перерасч)"/>
      <sheetName val="Калькуляция"/>
      <sheetName val="Тек рем Возмещение"/>
      <sheetName val="Вознагр Пред Возмещение"/>
      <sheetName val="2022 (доголос) (2024)"/>
      <sheetName val="2022 (анализ доголос-пере 2024"/>
      <sheetName val="остаток на 01.05.24"/>
      <sheetName val="остаток на 01.05.24 (2)"/>
      <sheetName val="остаток на 01.08.2024"/>
      <sheetName val="остаток на 25.10.2024 (2)"/>
      <sheetName val="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6">
          <cell r="N36">
            <v>-145573.74</v>
          </cell>
        </row>
      </sheetData>
      <sheetData sheetId="13">
        <row r="54">
          <cell r="G54">
            <v>-35254.907999999996</v>
          </cell>
        </row>
        <row r="65">
          <cell r="G65">
            <v>-47172.060000000027</v>
          </cell>
        </row>
        <row r="114">
          <cell r="G114">
            <v>0</v>
          </cell>
        </row>
        <row r="116">
          <cell r="G116">
            <v>0</v>
          </cell>
        </row>
        <row r="118">
          <cell r="G118">
            <v>5462.0280000000002</v>
          </cell>
        </row>
        <row r="120">
          <cell r="G120">
            <v>17379.18</v>
          </cell>
        </row>
        <row r="122">
          <cell r="G122">
            <v>-179319.52800000005</v>
          </cell>
        </row>
        <row r="124">
          <cell r="C124">
            <v>1573560.6120000002</v>
          </cell>
          <cell r="E124">
            <v>1823108.7579999999</v>
          </cell>
          <cell r="G124">
            <v>-249548.14599999972</v>
          </cell>
        </row>
        <row r="132">
          <cell r="G132">
            <v>22841.207999999999</v>
          </cell>
        </row>
        <row r="133">
          <cell r="B133">
            <v>1555661.0220000001</v>
          </cell>
          <cell r="G133">
            <v>-290288.94400000008</v>
          </cell>
        </row>
        <row r="134">
          <cell r="G134">
            <v>17899.59</v>
          </cell>
        </row>
        <row r="136">
          <cell r="G136">
            <v>-267447.73600000009</v>
          </cell>
        </row>
        <row r="138">
          <cell r="G138">
            <v>-267447.73600000009</v>
          </cell>
        </row>
      </sheetData>
      <sheetData sheetId="14">
        <row r="54">
          <cell r="G54">
            <v>35875.594000000041</v>
          </cell>
        </row>
        <row r="65">
          <cell r="G65">
            <v>0</v>
          </cell>
        </row>
        <row r="114">
          <cell r="G114">
            <v>6251.5393200000035</v>
          </cell>
        </row>
        <row r="116">
          <cell r="G116">
            <v>23933.613600000001</v>
          </cell>
        </row>
        <row r="118">
          <cell r="G118">
            <v>-6949.2719999999972</v>
          </cell>
        </row>
        <row r="120">
          <cell r="G120">
            <v>2970.9340000000084</v>
          </cell>
        </row>
        <row r="124">
          <cell r="C124">
            <v>4383525.7439999999</v>
          </cell>
          <cell r="E124">
            <v>3656123.3602999998</v>
          </cell>
          <cell r="G124">
            <v>727402.38370000012</v>
          </cell>
        </row>
        <row r="144">
          <cell r="C144">
            <v>3982496.3492199997</v>
          </cell>
          <cell r="G144">
            <v>333322.25699999998</v>
          </cell>
        </row>
        <row r="145">
          <cell r="G145">
            <v>-6949.2719999999972</v>
          </cell>
        </row>
        <row r="146">
          <cell r="G146">
            <v>401029.39478000003</v>
          </cell>
          <cell r="I146">
            <v>418928.98478000006</v>
          </cell>
        </row>
        <row r="148">
          <cell r="G148">
            <v>326372.98499999999</v>
          </cell>
        </row>
        <row r="150">
          <cell r="G150">
            <v>326372.98499999999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158"/>
  <sheetViews>
    <sheetView zoomScale="80" zoomScaleNormal="80" workbookViewId="0">
      <selection activeCell="B131" sqref="B131:H141"/>
    </sheetView>
  </sheetViews>
  <sheetFormatPr defaultColWidth="11.5703125" defaultRowHeight="15" x14ac:dyDescent="0.25"/>
  <cols>
    <col min="1" max="1" width="43.85546875" customWidth="1"/>
    <col min="2" max="2" width="42.85546875" customWidth="1"/>
    <col min="3" max="3" width="16.28515625" customWidth="1"/>
    <col min="4" max="4" width="11.28515625" customWidth="1"/>
    <col min="5" max="5" width="14.42578125" customWidth="1"/>
    <col min="6" max="6" width="12.140625" customWidth="1"/>
    <col min="7" max="7" width="14.140625" customWidth="1"/>
    <col min="8" max="8" width="11.42578125" customWidth="1"/>
    <col min="9" max="9" width="12.7109375" style="365" customWidth="1"/>
    <col min="217" max="217" width="23.140625" customWidth="1"/>
    <col min="218" max="218" width="42.85546875" customWidth="1"/>
    <col min="220" max="220" width="11.28515625" customWidth="1"/>
    <col min="221" max="221" width="12.85546875" customWidth="1"/>
    <col min="222" max="222" width="12.140625" customWidth="1"/>
    <col min="223" max="223" width="11.7109375" customWidth="1"/>
    <col min="224" max="224" width="11.42578125" customWidth="1"/>
    <col min="225" max="225" width="12.7109375" customWidth="1"/>
    <col min="226" max="226" width="4.140625" customWidth="1"/>
    <col min="227" max="227" width="35.5703125" customWidth="1"/>
    <col min="228" max="228" width="12.5703125" customWidth="1"/>
    <col min="229" max="229" width="12.28515625" customWidth="1"/>
    <col min="230" max="230" width="12.85546875" customWidth="1"/>
    <col min="231" max="231" width="11.140625" customWidth="1"/>
    <col min="232" max="232" width="12.42578125" customWidth="1"/>
    <col min="233" max="233" width="11.42578125" customWidth="1"/>
    <col min="234" max="234" width="13.5703125" customWidth="1"/>
    <col min="473" max="473" width="23.140625" customWidth="1"/>
    <col min="474" max="474" width="42.85546875" customWidth="1"/>
    <col min="476" max="476" width="11.28515625" customWidth="1"/>
    <col min="477" max="477" width="12.85546875" customWidth="1"/>
    <col min="478" max="478" width="12.140625" customWidth="1"/>
    <col min="479" max="479" width="11.7109375" customWidth="1"/>
    <col min="480" max="480" width="11.42578125" customWidth="1"/>
    <col min="481" max="481" width="12.7109375" customWidth="1"/>
    <col min="482" max="482" width="4.140625" customWidth="1"/>
    <col min="483" max="483" width="35.5703125" customWidth="1"/>
    <col min="484" max="484" width="12.5703125" customWidth="1"/>
    <col min="485" max="485" width="12.28515625" customWidth="1"/>
    <col min="486" max="486" width="12.85546875" customWidth="1"/>
    <col min="487" max="487" width="11.140625" customWidth="1"/>
    <col min="488" max="488" width="12.42578125" customWidth="1"/>
    <col min="489" max="489" width="11.42578125" customWidth="1"/>
    <col min="490" max="490" width="13.5703125" customWidth="1"/>
    <col min="729" max="729" width="23.140625" customWidth="1"/>
    <col min="730" max="730" width="42.85546875" customWidth="1"/>
    <col min="732" max="732" width="11.28515625" customWidth="1"/>
    <col min="733" max="733" width="12.85546875" customWidth="1"/>
    <col min="734" max="734" width="12.140625" customWidth="1"/>
    <col min="735" max="735" width="11.7109375" customWidth="1"/>
    <col min="736" max="736" width="11.42578125" customWidth="1"/>
    <col min="737" max="737" width="12.7109375" customWidth="1"/>
    <col min="738" max="738" width="4.140625" customWidth="1"/>
    <col min="739" max="739" width="35.5703125" customWidth="1"/>
    <col min="740" max="740" width="12.5703125" customWidth="1"/>
    <col min="741" max="741" width="12.28515625" customWidth="1"/>
    <col min="742" max="742" width="12.85546875" customWidth="1"/>
    <col min="743" max="743" width="11.140625" customWidth="1"/>
    <col min="744" max="744" width="12.42578125" customWidth="1"/>
    <col min="745" max="745" width="11.42578125" customWidth="1"/>
    <col min="746" max="746" width="13.5703125" customWidth="1"/>
    <col min="985" max="985" width="23.140625" customWidth="1"/>
    <col min="986" max="986" width="42.85546875" customWidth="1"/>
    <col min="988" max="988" width="11.28515625" customWidth="1"/>
    <col min="989" max="989" width="12.85546875" customWidth="1"/>
    <col min="990" max="990" width="12.140625" customWidth="1"/>
    <col min="991" max="991" width="11.7109375" customWidth="1"/>
    <col min="992" max="992" width="11.42578125" customWidth="1"/>
    <col min="993" max="993" width="12.7109375" customWidth="1"/>
    <col min="994" max="994" width="4.140625" customWidth="1"/>
    <col min="995" max="995" width="35.5703125" customWidth="1"/>
    <col min="996" max="996" width="12.5703125" customWidth="1"/>
    <col min="997" max="997" width="12.28515625" customWidth="1"/>
    <col min="998" max="998" width="12.85546875" customWidth="1"/>
    <col min="999" max="999" width="11.140625" customWidth="1"/>
    <col min="1000" max="1000" width="12.42578125" customWidth="1"/>
    <col min="1001" max="1001" width="11.42578125" customWidth="1"/>
    <col min="1002" max="1002" width="13.5703125" customWidth="1"/>
    <col min="1241" max="1241" width="23.140625" customWidth="1"/>
    <col min="1242" max="1242" width="42.85546875" customWidth="1"/>
    <col min="1244" max="1244" width="11.28515625" customWidth="1"/>
    <col min="1245" max="1245" width="12.85546875" customWidth="1"/>
    <col min="1246" max="1246" width="12.140625" customWidth="1"/>
    <col min="1247" max="1247" width="11.7109375" customWidth="1"/>
    <col min="1248" max="1248" width="11.42578125" customWidth="1"/>
    <col min="1249" max="1249" width="12.7109375" customWidth="1"/>
    <col min="1250" max="1250" width="4.140625" customWidth="1"/>
    <col min="1251" max="1251" width="35.5703125" customWidth="1"/>
    <col min="1252" max="1252" width="12.5703125" customWidth="1"/>
    <col min="1253" max="1253" width="12.28515625" customWidth="1"/>
    <col min="1254" max="1254" width="12.85546875" customWidth="1"/>
    <col min="1255" max="1255" width="11.140625" customWidth="1"/>
    <col min="1256" max="1256" width="12.42578125" customWidth="1"/>
    <col min="1257" max="1257" width="11.42578125" customWidth="1"/>
    <col min="1258" max="1258" width="13.5703125" customWidth="1"/>
    <col min="1497" max="1497" width="23.140625" customWidth="1"/>
    <col min="1498" max="1498" width="42.85546875" customWidth="1"/>
    <col min="1500" max="1500" width="11.28515625" customWidth="1"/>
    <col min="1501" max="1501" width="12.85546875" customWidth="1"/>
    <col min="1502" max="1502" width="12.140625" customWidth="1"/>
    <col min="1503" max="1503" width="11.7109375" customWidth="1"/>
    <col min="1504" max="1504" width="11.42578125" customWidth="1"/>
    <col min="1505" max="1505" width="12.7109375" customWidth="1"/>
    <col min="1506" max="1506" width="4.140625" customWidth="1"/>
    <col min="1507" max="1507" width="35.5703125" customWidth="1"/>
    <col min="1508" max="1508" width="12.5703125" customWidth="1"/>
    <col min="1509" max="1509" width="12.28515625" customWidth="1"/>
    <col min="1510" max="1510" width="12.85546875" customWidth="1"/>
    <col min="1511" max="1511" width="11.140625" customWidth="1"/>
    <col min="1512" max="1512" width="12.42578125" customWidth="1"/>
    <col min="1513" max="1513" width="11.42578125" customWidth="1"/>
    <col min="1514" max="1514" width="13.5703125" customWidth="1"/>
    <col min="1753" max="1753" width="23.140625" customWidth="1"/>
    <col min="1754" max="1754" width="42.85546875" customWidth="1"/>
    <col min="1756" max="1756" width="11.28515625" customWidth="1"/>
    <col min="1757" max="1757" width="12.85546875" customWidth="1"/>
    <col min="1758" max="1758" width="12.140625" customWidth="1"/>
    <col min="1759" max="1759" width="11.7109375" customWidth="1"/>
    <col min="1760" max="1760" width="11.42578125" customWidth="1"/>
    <col min="1761" max="1761" width="12.7109375" customWidth="1"/>
    <col min="1762" max="1762" width="4.140625" customWidth="1"/>
    <col min="1763" max="1763" width="35.5703125" customWidth="1"/>
    <col min="1764" max="1764" width="12.5703125" customWidth="1"/>
    <col min="1765" max="1765" width="12.28515625" customWidth="1"/>
    <col min="1766" max="1766" width="12.85546875" customWidth="1"/>
    <col min="1767" max="1767" width="11.140625" customWidth="1"/>
    <col min="1768" max="1768" width="12.42578125" customWidth="1"/>
    <col min="1769" max="1769" width="11.42578125" customWidth="1"/>
    <col min="1770" max="1770" width="13.5703125" customWidth="1"/>
    <col min="2009" max="2009" width="23.140625" customWidth="1"/>
    <col min="2010" max="2010" width="42.85546875" customWidth="1"/>
    <col min="2012" max="2012" width="11.28515625" customWidth="1"/>
    <col min="2013" max="2013" width="12.85546875" customWidth="1"/>
    <col min="2014" max="2014" width="12.140625" customWidth="1"/>
    <col min="2015" max="2015" width="11.7109375" customWidth="1"/>
    <col min="2016" max="2016" width="11.42578125" customWidth="1"/>
    <col min="2017" max="2017" width="12.7109375" customWidth="1"/>
    <col min="2018" max="2018" width="4.140625" customWidth="1"/>
    <col min="2019" max="2019" width="35.5703125" customWidth="1"/>
    <col min="2020" max="2020" width="12.5703125" customWidth="1"/>
    <col min="2021" max="2021" width="12.28515625" customWidth="1"/>
    <col min="2022" max="2022" width="12.85546875" customWidth="1"/>
    <col min="2023" max="2023" width="11.140625" customWidth="1"/>
    <col min="2024" max="2024" width="12.42578125" customWidth="1"/>
    <col min="2025" max="2025" width="11.42578125" customWidth="1"/>
    <col min="2026" max="2026" width="13.5703125" customWidth="1"/>
    <col min="2265" max="2265" width="23.140625" customWidth="1"/>
    <col min="2266" max="2266" width="42.85546875" customWidth="1"/>
    <col min="2268" max="2268" width="11.28515625" customWidth="1"/>
    <col min="2269" max="2269" width="12.85546875" customWidth="1"/>
    <col min="2270" max="2270" width="12.140625" customWidth="1"/>
    <col min="2271" max="2271" width="11.7109375" customWidth="1"/>
    <col min="2272" max="2272" width="11.42578125" customWidth="1"/>
    <col min="2273" max="2273" width="12.7109375" customWidth="1"/>
    <col min="2274" max="2274" width="4.140625" customWidth="1"/>
    <col min="2275" max="2275" width="35.5703125" customWidth="1"/>
    <col min="2276" max="2276" width="12.5703125" customWidth="1"/>
    <col min="2277" max="2277" width="12.28515625" customWidth="1"/>
    <col min="2278" max="2278" width="12.85546875" customWidth="1"/>
    <col min="2279" max="2279" width="11.140625" customWidth="1"/>
    <col min="2280" max="2280" width="12.42578125" customWidth="1"/>
    <col min="2281" max="2281" width="11.42578125" customWidth="1"/>
    <col min="2282" max="2282" width="13.5703125" customWidth="1"/>
    <col min="2521" max="2521" width="23.140625" customWidth="1"/>
    <col min="2522" max="2522" width="42.85546875" customWidth="1"/>
    <col min="2524" max="2524" width="11.28515625" customWidth="1"/>
    <col min="2525" max="2525" width="12.85546875" customWidth="1"/>
    <col min="2526" max="2526" width="12.140625" customWidth="1"/>
    <col min="2527" max="2527" width="11.7109375" customWidth="1"/>
    <col min="2528" max="2528" width="11.42578125" customWidth="1"/>
    <col min="2529" max="2529" width="12.7109375" customWidth="1"/>
    <col min="2530" max="2530" width="4.140625" customWidth="1"/>
    <col min="2531" max="2531" width="35.5703125" customWidth="1"/>
    <col min="2532" max="2532" width="12.5703125" customWidth="1"/>
    <col min="2533" max="2533" width="12.28515625" customWidth="1"/>
    <col min="2534" max="2534" width="12.85546875" customWidth="1"/>
    <col min="2535" max="2535" width="11.140625" customWidth="1"/>
    <col min="2536" max="2536" width="12.42578125" customWidth="1"/>
    <col min="2537" max="2537" width="11.42578125" customWidth="1"/>
    <col min="2538" max="2538" width="13.5703125" customWidth="1"/>
    <col min="2777" max="2777" width="23.140625" customWidth="1"/>
    <col min="2778" max="2778" width="42.85546875" customWidth="1"/>
    <col min="2780" max="2780" width="11.28515625" customWidth="1"/>
    <col min="2781" max="2781" width="12.85546875" customWidth="1"/>
    <col min="2782" max="2782" width="12.140625" customWidth="1"/>
    <col min="2783" max="2783" width="11.7109375" customWidth="1"/>
    <col min="2784" max="2784" width="11.42578125" customWidth="1"/>
    <col min="2785" max="2785" width="12.7109375" customWidth="1"/>
    <col min="2786" max="2786" width="4.140625" customWidth="1"/>
    <col min="2787" max="2787" width="35.5703125" customWidth="1"/>
    <col min="2788" max="2788" width="12.5703125" customWidth="1"/>
    <col min="2789" max="2789" width="12.28515625" customWidth="1"/>
    <col min="2790" max="2790" width="12.85546875" customWidth="1"/>
    <col min="2791" max="2791" width="11.140625" customWidth="1"/>
    <col min="2792" max="2792" width="12.42578125" customWidth="1"/>
    <col min="2793" max="2793" width="11.42578125" customWidth="1"/>
    <col min="2794" max="2794" width="13.5703125" customWidth="1"/>
    <col min="3033" max="3033" width="23.140625" customWidth="1"/>
    <col min="3034" max="3034" width="42.85546875" customWidth="1"/>
    <col min="3036" max="3036" width="11.28515625" customWidth="1"/>
    <col min="3037" max="3037" width="12.85546875" customWidth="1"/>
    <col min="3038" max="3038" width="12.140625" customWidth="1"/>
    <col min="3039" max="3039" width="11.7109375" customWidth="1"/>
    <col min="3040" max="3040" width="11.42578125" customWidth="1"/>
    <col min="3041" max="3041" width="12.7109375" customWidth="1"/>
    <col min="3042" max="3042" width="4.140625" customWidth="1"/>
    <col min="3043" max="3043" width="35.5703125" customWidth="1"/>
    <col min="3044" max="3044" width="12.5703125" customWidth="1"/>
    <col min="3045" max="3045" width="12.28515625" customWidth="1"/>
    <col min="3046" max="3046" width="12.85546875" customWidth="1"/>
    <col min="3047" max="3047" width="11.140625" customWidth="1"/>
    <col min="3048" max="3048" width="12.42578125" customWidth="1"/>
    <col min="3049" max="3049" width="11.42578125" customWidth="1"/>
    <col min="3050" max="3050" width="13.5703125" customWidth="1"/>
    <col min="3289" max="3289" width="23.140625" customWidth="1"/>
    <col min="3290" max="3290" width="42.85546875" customWidth="1"/>
    <col min="3292" max="3292" width="11.28515625" customWidth="1"/>
    <col min="3293" max="3293" width="12.85546875" customWidth="1"/>
    <col min="3294" max="3294" width="12.140625" customWidth="1"/>
    <col min="3295" max="3295" width="11.7109375" customWidth="1"/>
    <col min="3296" max="3296" width="11.42578125" customWidth="1"/>
    <col min="3297" max="3297" width="12.7109375" customWidth="1"/>
    <col min="3298" max="3298" width="4.140625" customWidth="1"/>
    <col min="3299" max="3299" width="35.5703125" customWidth="1"/>
    <col min="3300" max="3300" width="12.5703125" customWidth="1"/>
    <col min="3301" max="3301" width="12.28515625" customWidth="1"/>
    <col min="3302" max="3302" width="12.85546875" customWidth="1"/>
    <col min="3303" max="3303" width="11.140625" customWidth="1"/>
    <col min="3304" max="3304" width="12.42578125" customWidth="1"/>
    <col min="3305" max="3305" width="11.42578125" customWidth="1"/>
    <col min="3306" max="3306" width="13.5703125" customWidth="1"/>
    <col min="3545" max="3545" width="23.140625" customWidth="1"/>
    <col min="3546" max="3546" width="42.85546875" customWidth="1"/>
    <col min="3548" max="3548" width="11.28515625" customWidth="1"/>
    <col min="3549" max="3549" width="12.85546875" customWidth="1"/>
    <col min="3550" max="3550" width="12.140625" customWidth="1"/>
    <col min="3551" max="3551" width="11.7109375" customWidth="1"/>
    <col min="3552" max="3552" width="11.42578125" customWidth="1"/>
    <col min="3553" max="3553" width="12.7109375" customWidth="1"/>
    <col min="3554" max="3554" width="4.140625" customWidth="1"/>
    <col min="3555" max="3555" width="35.5703125" customWidth="1"/>
    <col min="3556" max="3556" width="12.5703125" customWidth="1"/>
    <col min="3557" max="3557" width="12.28515625" customWidth="1"/>
    <col min="3558" max="3558" width="12.85546875" customWidth="1"/>
    <col min="3559" max="3559" width="11.140625" customWidth="1"/>
    <col min="3560" max="3560" width="12.42578125" customWidth="1"/>
    <col min="3561" max="3561" width="11.42578125" customWidth="1"/>
    <col min="3562" max="3562" width="13.5703125" customWidth="1"/>
    <col min="3801" max="3801" width="23.140625" customWidth="1"/>
    <col min="3802" max="3802" width="42.85546875" customWidth="1"/>
    <col min="3804" max="3804" width="11.28515625" customWidth="1"/>
    <col min="3805" max="3805" width="12.85546875" customWidth="1"/>
    <col min="3806" max="3806" width="12.140625" customWidth="1"/>
    <col min="3807" max="3807" width="11.7109375" customWidth="1"/>
    <col min="3808" max="3808" width="11.42578125" customWidth="1"/>
    <col min="3809" max="3809" width="12.7109375" customWidth="1"/>
    <col min="3810" max="3810" width="4.140625" customWidth="1"/>
    <col min="3811" max="3811" width="35.5703125" customWidth="1"/>
    <col min="3812" max="3812" width="12.5703125" customWidth="1"/>
    <col min="3813" max="3813" width="12.28515625" customWidth="1"/>
    <col min="3814" max="3814" width="12.85546875" customWidth="1"/>
    <col min="3815" max="3815" width="11.140625" customWidth="1"/>
    <col min="3816" max="3816" width="12.42578125" customWidth="1"/>
    <col min="3817" max="3817" width="11.42578125" customWidth="1"/>
    <col min="3818" max="3818" width="13.5703125" customWidth="1"/>
    <col min="4057" max="4057" width="23.140625" customWidth="1"/>
    <col min="4058" max="4058" width="42.85546875" customWidth="1"/>
    <col min="4060" max="4060" width="11.28515625" customWidth="1"/>
    <col min="4061" max="4061" width="12.85546875" customWidth="1"/>
    <col min="4062" max="4062" width="12.140625" customWidth="1"/>
    <col min="4063" max="4063" width="11.7109375" customWidth="1"/>
    <col min="4064" max="4064" width="11.42578125" customWidth="1"/>
    <col min="4065" max="4065" width="12.7109375" customWidth="1"/>
    <col min="4066" max="4066" width="4.140625" customWidth="1"/>
    <col min="4067" max="4067" width="35.5703125" customWidth="1"/>
    <col min="4068" max="4068" width="12.5703125" customWidth="1"/>
    <col min="4069" max="4069" width="12.28515625" customWidth="1"/>
    <col min="4070" max="4070" width="12.85546875" customWidth="1"/>
    <col min="4071" max="4071" width="11.140625" customWidth="1"/>
    <col min="4072" max="4072" width="12.42578125" customWidth="1"/>
    <col min="4073" max="4073" width="11.42578125" customWidth="1"/>
    <col min="4074" max="4074" width="13.5703125" customWidth="1"/>
    <col min="4313" max="4313" width="23.140625" customWidth="1"/>
    <col min="4314" max="4314" width="42.85546875" customWidth="1"/>
    <col min="4316" max="4316" width="11.28515625" customWidth="1"/>
    <col min="4317" max="4317" width="12.85546875" customWidth="1"/>
    <col min="4318" max="4318" width="12.140625" customWidth="1"/>
    <col min="4319" max="4319" width="11.7109375" customWidth="1"/>
    <col min="4320" max="4320" width="11.42578125" customWidth="1"/>
    <col min="4321" max="4321" width="12.7109375" customWidth="1"/>
    <col min="4322" max="4322" width="4.140625" customWidth="1"/>
    <col min="4323" max="4323" width="35.5703125" customWidth="1"/>
    <col min="4324" max="4324" width="12.5703125" customWidth="1"/>
    <col min="4325" max="4325" width="12.28515625" customWidth="1"/>
    <col min="4326" max="4326" width="12.85546875" customWidth="1"/>
    <col min="4327" max="4327" width="11.140625" customWidth="1"/>
    <col min="4328" max="4328" width="12.42578125" customWidth="1"/>
    <col min="4329" max="4329" width="11.42578125" customWidth="1"/>
    <col min="4330" max="4330" width="13.5703125" customWidth="1"/>
    <col min="4569" max="4569" width="23.140625" customWidth="1"/>
    <col min="4570" max="4570" width="42.85546875" customWidth="1"/>
    <col min="4572" max="4572" width="11.28515625" customWidth="1"/>
    <col min="4573" max="4573" width="12.85546875" customWidth="1"/>
    <col min="4574" max="4574" width="12.140625" customWidth="1"/>
    <col min="4575" max="4575" width="11.7109375" customWidth="1"/>
    <col min="4576" max="4576" width="11.42578125" customWidth="1"/>
    <col min="4577" max="4577" width="12.7109375" customWidth="1"/>
    <col min="4578" max="4578" width="4.140625" customWidth="1"/>
    <col min="4579" max="4579" width="35.5703125" customWidth="1"/>
    <col min="4580" max="4580" width="12.5703125" customWidth="1"/>
    <col min="4581" max="4581" width="12.28515625" customWidth="1"/>
    <col min="4582" max="4582" width="12.85546875" customWidth="1"/>
    <col min="4583" max="4583" width="11.140625" customWidth="1"/>
    <col min="4584" max="4584" width="12.42578125" customWidth="1"/>
    <col min="4585" max="4585" width="11.42578125" customWidth="1"/>
    <col min="4586" max="4586" width="13.5703125" customWidth="1"/>
    <col min="4825" max="4825" width="23.140625" customWidth="1"/>
    <col min="4826" max="4826" width="42.85546875" customWidth="1"/>
    <col min="4828" max="4828" width="11.28515625" customWidth="1"/>
    <col min="4829" max="4829" width="12.85546875" customWidth="1"/>
    <col min="4830" max="4830" width="12.140625" customWidth="1"/>
    <col min="4831" max="4831" width="11.7109375" customWidth="1"/>
    <col min="4832" max="4832" width="11.42578125" customWidth="1"/>
    <col min="4833" max="4833" width="12.7109375" customWidth="1"/>
    <col min="4834" max="4834" width="4.140625" customWidth="1"/>
    <col min="4835" max="4835" width="35.5703125" customWidth="1"/>
    <col min="4836" max="4836" width="12.5703125" customWidth="1"/>
    <col min="4837" max="4837" width="12.28515625" customWidth="1"/>
    <col min="4838" max="4838" width="12.85546875" customWidth="1"/>
    <col min="4839" max="4839" width="11.140625" customWidth="1"/>
    <col min="4840" max="4840" width="12.42578125" customWidth="1"/>
    <col min="4841" max="4841" width="11.42578125" customWidth="1"/>
    <col min="4842" max="4842" width="13.5703125" customWidth="1"/>
    <col min="5081" max="5081" width="23.140625" customWidth="1"/>
    <col min="5082" max="5082" width="42.85546875" customWidth="1"/>
    <col min="5084" max="5084" width="11.28515625" customWidth="1"/>
    <col min="5085" max="5085" width="12.85546875" customWidth="1"/>
    <col min="5086" max="5086" width="12.140625" customWidth="1"/>
    <col min="5087" max="5087" width="11.7109375" customWidth="1"/>
    <col min="5088" max="5088" width="11.42578125" customWidth="1"/>
    <col min="5089" max="5089" width="12.7109375" customWidth="1"/>
    <col min="5090" max="5090" width="4.140625" customWidth="1"/>
    <col min="5091" max="5091" width="35.5703125" customWidth="1"/>
    <col min="5092" max="5092" width="12.5703125" customWidth="1"/>
    <col min="5093" max="5093" width="12.28515625" customWidth="1"/>
    <col min="5094" max="5094" width="12.85546875" customWidth="1"/>
    <col min="5095" max="5095" width="11.140625" customWidth="1"/>
    <col min="5096" max="5096" width="12.42578125" customWidth="1"/>
    <col min="5097" max="5097" width="11.42578125" customWidth="1"/>
    <col min="5098" max="5098" width="13.5703125" customWidth="1"/>
    <col min="5337" max="5337" width="23.140625" customWidth="1"/>
    <col min="5338" max="5338" width="42.85546875" customWidth="1"/>
    <col min="5340" max="5340" width="11.28515625" customWidth="1"/>
    <col min="5341" max="5341" width="12.85546875" customWidth="1"/>
    <col min="5342" max="5342" width="12.140625" customWidth="1"/>
    <col min="5343" max="5343" width="11.7109375" customWidth="1"/>
    <col min="5344" max="5344" width="11.42578125" customWidth="1"/>
    <col min="5345" max="5345" width="12.7109375" customWidth="1"/>
    <col min="5346" max="5346" width="4.140625" customWidth="1"/>
    <col min="5347" max="5347" width="35.5703125" customWidth="1"/>
    <col min="5348" max="5348" width="12.5703125" customWidth="1"/>
    <col min="5349" max="5349" width="12.28515625" customWidth="1"/>
    <col min="5350" max="5350" width="12.85546875" customWidth="1"/>
    <col min="5351" max="5351" width="11.140625" customWidth="1"/>
    <col min="5352" max="5352" width="12.42578125" customWidth="1"/>
    <col min="5353" max="5353" width="11.42578125" customWidth="1"/>
    <col min="5354" max="5354" width="13.5703125" customWidth="1"/>
    <col min="5593" max="5593" width="23.140625" customWidth="1"/>
    <col min="5594" max="5594" width="42.85546875" customWidth="1"/>
    <col min="5596" max="5596" width="11.28515625" customWidth="1"/>
    <col min="5597" max="5597" width="12.85546875" customWidth="1"/>
    <col min="5598" max="5598" width="12.140625" customWidth="1"/>
    <col min="5599" max="5599" width="11.7109375" customWidth="1"/>
    <col min="5600" max="5600" width="11.42578125" customWidth="1"/>
    <col min="5601" max="5601" width="12.7109375" customWidth="1"/>
    <col min="5602" max="5602" width="4.140625" customWidth="1"/>
    <col min="5603" max="5603" width="35.5703125" customWidth="1"/>
    <col min="5604" max="5604" width="12.5703125" customWidth="1"/>
    <col min="5605" max="5605" width="12.28515625" customWidth="1"/>
    <col min="5606" max="5606" width="12.85546875" customWidth="1"/>
    <col min="5607" max="5607" width="11.140625" customWidth="1"/>
    <col min="5608" max="5608" width="12.42578125" customWidth="1"/>
    <col min="5609" max="5609" width="11.42578125" customWidth="1"/>
    <col min="5610" max="5610" width="13.5703125" customWidth="1"/>
    <col min="5849" max="5849" width="23.140625" customWidth="1"/>
    <col min="5850" max="5850" width="42.85546875" customWidth="1"/>
    <col min="5852" max="5852" width="11.28515625" customWidth="1"/>
    <col min="5853" max="5853" width="12.85546875" customWidth="1"/>
    <col min="5854" max="5854" width="12.140625" customWidth="1"/>
    <col min="5855" max="5855" width="11.7109375" customWidth="1"/>
    <col min="5856" max="5856" width="11.42578125" customWidth="1"/>
    <col min="5857" max="5857" width="12.7109375" customWidth="1"/>
    <col min="5858" max="5858" width="4.140625" customWidth="1"/>
    <col min="5859" max="5859" width="35.5703125" customWidth="1"/>
    <col min="5860" max="5860" width="12.5703125" customWidth="1"/>
    <col min="5861" max="5861" width="12.28515625" customWidth="1"/>
    <col min="5862" max="5862" width="12.85546875" customWidth="1"/>
    <col min="5863" max="5863" width="11.140625" customWidth="1"/>
    <col min="5864" max="5864" width="12.42578125" customWidth="1"/>
    <col min="5865" max="5865" width="11.42578125" customWidth="1"/>
    <col min="5866" max="5866" width="13.5703125" customWidth="1"/>
    <col min="6105" max="6105" width="23.140625" customWidth="1"/>
    <col min="6106" max="6106" width="42.85546875" customWidth="1"/>
    <col min="6108" max="6108" width="11.28515625" customWidth="1"/>
    <col min="6109" max="6109" width="12.85546875" customWidth="1"/>
    <col min="6110" max="6110" width="12.140625" customWidth="1"/>
    <col min="6111" max="6111" width="11.7109375" customWidth="1"/>
    <col min="6112" max="6112" width="11.42578125" customWidth="1"/>
    <col min="6113" max="6113" width="12.7109375" customWidth="1"/>
    <col min="6114" max="6114" width="4.140625" customWidth="1"/>
    <col min="6115" max="6115" width="35.5703125" customWidth="1"/>
    <col min="6116" max="6116" width="12.5703125" customWidth="1"/>
    <col min="6117" max="6117" width="12.28515625" customWidth="1"/>
    <col min="6118" max="6118" width="12.85546875" customWidth="1"/>
    <col min="6119" max="6119" width="11.140625" customWidth="1"/>
    <col min="6120" max="6120" width="12.42578125" customWidth="1"/>
    <col min="6121" max="6121" width="11.42578125" customWidth="1"/>
    <col min="6122" max="6122" width="13.5703125" customWidth="1"/>
    <col min="6361" max="6361" width="23.140625" customWidth="1"/>
    <col min="6362" max="6362" width="42.85546875" customWidth="1"/>
    <col min="6364" max="6364" width="11.28515625" customWidth="1"/>
    <col min="6365" max="6365" width="12.85546875" customWidth="1"/>
    <col min="6366" max="6366" width="12.140625" customWidth="1"/>
    <col min="6367" max="6367" width="11.7109375" customWidth="1"/>
    <col min="6368" max="6368" width="11.42578125" customWidth="1"/>
    <col min="6369" max="6369" width="12.7109375" customWidth="1"/>
    <col min="6370" max="6370" width="4.140625" customWidth="1"/>
    <col min="6371" max="6371" width="35.5703125" customWidth="1"/>
    <col min="6372" max="6372" width="12.5703125" customWidth="1"/>
    <col min="6373" max="6373" width="12.28515625" customWidth="1"/>
    <col min="6374" max="6374" width="12.85546875" customWidth="1"/>
    <col min="6375" max="6375" width="11.140625" customWidth="1"/>
    <col min="6376" max="6376" width="12.42578125" customWidth="1"/>
    <col min="6377" max="6377" width="11.42578125" customWidth="1"/>
    <col min="6378" max="6378" width="13.5703125" customWidth="1"/>
    <col min="6617" max="6617" width="23.140625" customWidth="1"/>
    <col min="6618" max="6618" width="42.85546875" customWidth="1"/>
    <col min="6620" max="6620" width="11.28515625" customWidth="1"/>
    <col min="6621" max="6621" width="12.85546875" customWidth="1"/>
    <col min="6622" max="6622" width="12.140625" customWidth="1"/>
    <col min="6623" max="6623" width="11.7109375" customWidth="1"/>
    <col min="6624" max="6624" width="11.42578125" customWidth="1"/>
    <col min="6625" max="6625" width="12.7109375" customWidth="1"/>
    <col min="6626" max="6626" width="4.140625" customWidth="1"/>
    <col min="6627" max="6627" width="35.5703125" customWidth="1"/>
    <col min="6628" max="6628" width="12.5703125" customWidth="1"/>
    <col min="6629" max="6629" width="12.28515625" customWidth="1"/>
    <col min="6630" max="6630" width="12.85546875" customWidth="1"/>
    <col min="6631" max="6631" width="11.140625" customWidth="1"/>
    <col min="6632" max="6632" width="12.42578125" customWidth="1"/>
    <col min="6633" max="6633" width="11.42578125" customWidth="1"/>
    <col min="6634" max="6634" width="13.5703125" customWidth="1"/>
    <col min="6873" max="6873" width="23.140625" customWidth="1"/>
    <col min="6874" max="6874" width="42.85546875" customWidth="1"/>
    <col min="6876" max="6876" width="11.28515625" customWidth="1"/>
    <col min="6877" max="6877" width="12.85546875" customWidth="1"/>
    <col min="6878" max="6878" width="12.140625" customWidth="1"/>
    <col min="6879" max="6879" width="11.7109375" customWidth="1"/>
    <col min="6880" max="6880" width="11.42578125" customWidth="1"/>
    <col min="6881" max="6881" width="12.7109375" customWidth="1"/>
    <col min="6882" max="6882" width="4.140625" customWidth="1"/>
    <col min="6883" max="6883" width="35.5703125" customWidth="1"/>
    <col min="6884" max="6884" width="12.5703125" customWidth="1"/>
    <col min="6885" max="6885" width="12.28515625" customWidth="1"/>
    <col min="6886" max="6886" width="12.85546875" customWidth="1"/>
    <col min="6887" max="6887" width="11.140625" customWidth="1"/>
    <col min="6888" max="6888" width="12.42578125" customWidth="1"/>
    <col min="6889" max="6889" width="11.42578125" customWidth="1"/>
    <col min="6890" max="6890" width="13.5703125" customWidth="1"/>
    <col min="7129" max="7129" width="23.140625" customWidth="1"/>
    <col min="7130" max="7130" width="42.85546875" customWidth="1"/>
    <col min="7132" max="7132" width="11.28515625" customWidth="1"/>
    <col min="7133" max="7133" width="12.85546875" customWidth="1"/>
    <col min="7134" max="7134" width="12.140625" customWidth="1"/>
    <col min="7135" max="7135" width="11.7109375" customWidth="1"/>
    <col min="7136" max="7136" width="11.42578125" customWidth="1"/>
    <col min="7137" max="7137" width="12.7109375" customWidth="1"/>
    <col min="7138" max="7138" width="4.140625" customWidth="1"/>
    <col min="7139" max="7139" width="35.5703125" customWidth="1"/>
    <col min="7140" max="7140" width="12.5703125" customWidth="1"/>
    <col min="7141" max="7141" width="12.28515625" customWidth="1"/>
    <col min="7142" max="7142" width="12.85546875" customWidth="1"/>
    <col min="7143" max="7143" width="11.140625" customWidth="1"/>
    <col min="7144" max="7144" width="12.42578125" customWidth="1"/>
    <col min="7145" max="7145" width="11.42578125" customWidth="1"/>
    <col min="7146" max="7146" width="13.5703125" customWidth="1"/>
    <col min="7385" max="7385" width="23.140625" customWidth="1"/>
    <col min="7386" max="7386" width="42.85546875" customWidth="1"/>
    <col min="7388" max="7388" width="11.28515625" customWidth="1"/>
    <col min="7389" max="7389" width="12.85546875" customWidth="1"/>
    <col min="7390" max="7390" width="12.140625" customWidth="1"/>
    <col min="7391" max="7391" width="11.7109375" customWidth="1"/>
    <col min="7392" max="7392" width="11.42578125" customWidth="1"/>
    <col min="7393" max="7393" width="12.7109375" customWidth="1"/>
    <col min="7394" max="7394" width="4.140625" customWidth="1"/>
    <col min="7395" max="7395" width="35.5703125" customWidth="1"/>
    <col min="7396" max="7396" width="12.5703125" customWidth="1"/>
    <col min="7397" max="7397" width="12.28515625" customWidth="1"/>
    <col min="7398" max="7398" width="12.85546875" customWidth="1"/>
    <col min="7399" max="7399" width="11.140625" customWidth="1"/>
    <col min="7400" max="7400" width="12.42578125" customWidth="1"/>
    <col min="7401" max="7401" width="11.42578125" customWidth="1"/>
    <col min="7402" max="7402" width="13.5703125" customWidth="1"/>
    <col min="7641" max="7641" width="23.140625" customWidth="1"/>
    <col min="7642" max="7642" width="42.85546875" customWidth="1"/>
    <col min="7644" max="7644" width="11.28515625" customWidth="1"/>
    <col min="7645" max="7645" width="12.85546875" customWidth="1"/>
    <col min="7646" max="7646" width="12.140625" customWidth="1"/>
    <col min="7647" max="7647" width="11.7109375" customWidth="1"/>
    <col min="7648" max="7648" width="11.42578125" customWidth="1"/>
    <col min="7649" max="7649" width="12.7109375" customWidth="1"/>
    <col min="7650" max="7650" width="4.140625" customWidth="1"/>
    <col min="7651" max="7651" width="35.5703125" customWidth="1"/>
    <col min="7652" max="7652" width="12.5703125" customWidth="1"/>
    <col min="7653" max="7653" width="12.28515625" customWidth="1"/>
    <col min="7654" max="7654" width="12.85546875" customWidth="1"/>
    <col min="7655" max="7655" width="11.140625" customWidth="1"/>
    <col min="7656" max="7656" width="12.42578125" customWidth="1"/>
    <col min="7657" max="7657" width="11.42578125" customWidth="1"/>
    <col min="7658" max="7658" width="13.5703125" customWidth="1"/>
    <col min="7897" max="7897" width="23.140625" customWidth="1"/>
    <col min="7898" max="7898" width="42.85546875" customWidth="1"/>
    <col min="7900" max="7900" width="11.28515625" customWidth="1"/>
    <col min="7901" max="7901" width="12.85546875" customWidth="1"/>
    <col min="7902" max="7902" width="12.140625" customWidth="1"/>
    <col min="7903" max="7903" width="11.7109375" customWidth="1"/>
    <col min="7904" max="7904" width="11.42578125" customWidth="1"/>
    <col min="7905" max="7905" width="12.7109375" customWidth="1"/>
    <col min="7906" max="7906" width="4.140625" customWidth="1"/>
    <col min="7907" max="7907" width="35.5703125" customWidth="1"/>
    <col min="7908" max="7908" width="12.5703125" customWidth="1"/>
    <col min="7909" max="7909" width="12.28515625" customWidth="1"/>
    <col min="7910" max="7910" width="12.85546875" customWidth="1"/>
    <col min="7911" max="7911" width="11.140625" customWidth="1"/>
    <col min="7912" max="7912" width="12.42578125" customWidth="1"/>
    <col min="7913" max="7913" width="11.42578125" customWidth="1"/>
    <col min="7914" max="7914" width="13.5703125" customWidth="1"/>
    <col min="8153" max="8153" width="23.140625" customWidth="1"/>
    <col min="8154" max="8154" width="42.85546875" customWidth="1"/>
    <col min="8156" max="8156" width="11.28515625" customWidth="1"/>
    <col min="8157" max="8157" width="12.85546875" customWidth="1"/>
    <col min="8158" max="8158" width="12.140625" customWidth="1"/>
    <col min="8159" max="8159" width="11.7109375" customWidth="1"/>
    <col min="8160" max="8160" width="11.42578125" customWidth="1"/>
    <col min="8161" max="8161" width="12.7109375" customWidth="1"/>
    <col min="8162" max="8162" width="4.140625" customWidth="1"/>
    <col min="8163" max="8163" width="35.5703125" customWidth="1"/>
    <col min="8164" max="8164" width="12.5703125" customWidth="1"/>
    <col min="8165" max="8165" width="12.28515625" customWidth="1"/>
    <col min="8166" max="8166" width="12.85546875" customWidth="1"/>
    <col min="8167" max="8167" width="11.140625" customWidth="1"/>
    <col min="8168" max="8168" width="12.42578125" customWidth="1"/>
    <col min="8169" max="8169" width="11.42578125" customWidth="1"/>
    <col min="8170" max="8170" width="13.5703125" customWidth="1"/>
    <col min="8409" max="8409" width="23.140625" customWidth="1"/>
    <col min="8410" max="8410" width="42.85546875" customWidth="1"/>
    <col min="8412" max="8412" width="11.28515625" customWidth="1"/>
    <col min="8413" max="8413" width="12.85546875" customWidth="1"/>
    <col min="8414" max="8414" width="12.140625" customWidth="1"/>
    <col min="8415" max="8415" width="11.7109375" customWidth="1"/>
    <col min="8416" max="8416" width="11.42578125" customWidth="1"/>
    <col min="8417" max="8417" width="12.7109375" customWidth="1"/>
    <col min="8418" max="8418" width="4.140625" customWidth="1"/>
    <col min="8419" max="8419" width="35.5703125" customWidth="1"/>
    <col min="8420" max="8420" width="12.5703125" customWidth="1"/>
    <col min="8421" max="8421" width="12.28515625" customWidth="1"/>
    <col min="8422" max="8422" width="12.85546875" customWidth="1"/>
    <col min="8423" max="8423" width="11.140625" customWidth="1"/>
    <col min="8424" max="8424" width="12.42578125" customWidth="1"/>
    <col min="8425" max="8425" width="11.42578125" customWidth="1"/>
    <col min="8426" max="8426" width="13.5703125" customWidth="1"/>
    <col min="8665" max="8665" width="23.140625" customWidth="1"/>
    <col min="8666" max="8666" width="42.85546875" customWidth="1"/>
    <col min="8668" max="8668" width="11.28515625" customWidth="1"/>
    <col min="8669" max="8669" width="12.85546875" customWidth="1"/>
    <col min="8670" max="8670" width="12.140625" customWidth="1"/>
    <col min="8671" max="8671" width="11.7109375" customWidth="1"/>
    <col min="8672" max="8672" width="11.42578125" customWidth="1"/>
    <col min="8673" max="8673" width="12.7109375" customWidth="1"/>
    <col min="8674" max="8674" width="4.140625" customWidth="1"/>
    <col min="8675" max="8675" width="35.5703125" customWidth="1"/>
    <col min="8676" max="8676" width="12.5703125" customWidth="1"/>
    <col min="8677" max="8677" width="12.28515625" customWidth="1"/>
    <col min="8678" max="8678" width="12.85546875" customWidth="1"/>
    <col min="8679" max="8679" width="11.140625" customWidth="1"/>
    <col min="8680" max="8680" width="12.42578125" customWidth="1"/>
    <col min="8681" max="8681" width="11.42578125" customWidth="1"/>
    <col min="8682" max="8682" width="13.5703125" customWidth="1"/>
    <col min="8921" max="8921" width="23.140625" customWidth="1"/>
    <col min="8922" max="8922" width="42.85546875" customWidth="1"/>
    <col min="8924" max="8924" width="11.28515625" customWidth="1"/>
    <col min="8925" max="8925" width="12.85546875" customWidth="1"/>
    <col min="8926" max="8926" width="12.140625" customWidth="1"/>
    <col min="8927" max="8927" width="11.7109375" customWidth="1"/>
    <col min="8928" max="8928" width="11.42578125" customWidth="1"/>
    <col min="8929" max="8929" width="12.7109375" customWidth="1"/>
    <col min="8930" max="8930" width="4.140625" customWidth="1"/>
    <col min="8931" max="8931" width="35.5703125" customWidth="1"/>
    <col min="8932" max="8932" width="12.5703125" customWidth="1"/>
    <col min="8933" max="8933" width="12.28515625" customWidth="1"/>
    <col min="8934" max="8934" width="12.85546875" customWidth="1"/>
    <col min="8935" max="8935" width="11.140625" customWidth="1"/>
    <col min="8936" max="8936" width="12.42578125" customWidth="1"/>
    <col min="8937" max="8937" width="11.42578125" customWidth="1"/>
    <col min="8938" max="8938" width="13.5703125" customWidth="1"/>
    <col min="9177" max="9177" width="23.140625" customWidth="1"/>
    <col min="9178" max="9178" width="42.85546875" customWidth="1"/>
    <col min="9180" max="9180" width="11.28515625" customWidth="1"/>
    <col min="9181" max="9181" width="12.85546875" customWidth="1"/>
    <col min="9182" max="9182" width="12.140625" customWidth="1"/>
    <col min="9183" max="9183" width="11.7109375" customWidth="1"/>
    <col min="9184" max="9184" width="11.42578125" customWidth="1"/>
    <col min="9185" max="9185" width="12.7109375" customWidth="1"/>
    <col min="9186" max="9186" width="4.140625" customWidth="1"/>
    <col min="9187" max="9187" width="35.5703125" customWidth="1"/>
    <col min="9188" max="9188" width="12.5703125" customWidth="1"/>
    <col min="9189" max="9189" width="12.28515625" customWidth="1"/>
    <col min="9190" max="9190" width="12.85546875" customWidth="1"/>
    <col min="9191" max="9191" width="11.140625" customWidth="1"/>
    <col min="9192" max="9192" width="12.42578125" customWidth="1"/>
    <col min="9193" max="9193" width="11.42578125" customWidth="1"/>
    <col min="9194" max="9194" width="13.5703125" customWidth="1"/>
    <col min="9433" max="9433" width="23.140625" customWidth="1"/>
    <col min="9434" max="9434" width="42.85546875" customWidth="1"/>
    <col min="9436" max="9436" width="11.28515625" customWidth="1"/>
    <col min="9437" max="9437" width="12.85546875" customWidth="1"/>
    <col min="9438" max="9438" width="12.140625" customWidth="1"/>
    <col min="9439" max="9439" width="11.7109375" customWidth="1"/>
    <col min="9440" max="9440" width="11.42578125" customWidth="1"/>
    <col min="9441" max="9441" width="12.7109375" customWidth="1"/>
    <col min="9442" max="9442" width="4.140625" customWidth="1"/>
    <col min="9443" max="9443" width="35.5703125" customWidth="1"/>
    <col min="9444" max="9444" width="12.5703125" customWidth="1"/>
    <col min="9445" max="9445" width="12.28515625" customWidth="1"/>
    <col min="9446" max="9446" width="12.85546875" customWidth="1"/>
    <col min="9447" max="9447" width="11.140625" customWidth="1"/>
    <col min="9448" max="9448" width="12.42578125" customWidth="1"/>
    <col min="9449" max="9449" width="11.42578125" customWidth="1"/>
    <col min="9450" max="9450" width="13.5703125" customWidth="1"/>
    <col min="9689" max="9689" width="23.140625" customWidth="1"/>
    <col min="9690" max="9690" width="42.85546875" customWidth="1"/>
    <col min="9692" max="9692" width="11.28515625" customWidth="1"/>
    <col min="9693" max="9693" width="12.85546875" customWidth="1"/>
    <col min="9694" max="9694" width="12.140625" customWidth="1"/>
    <col min="9695" max="9695" width="11.7109375" customWidth="1"/>
    <col min="9696" max="9696" width="11.42578125" customWidth="1"/>
    <col min="9697" max="9697" width="12.7109375" customWidth="1"/>
    <col min="9698" max="9698" width="4.140625" customWidth="1"/>
    <col min="9699" max="9699" width="35.5703125" customWidth="1"/>
    <col min="9700" max="9700" width="12.5703125" customWidth="1"/>
    <col min="9701" max="9701" width="12.28515625" customWidth="1"/>
    <col min="9702" max="9702" width="12.85546875" customWidth="1"/>
    <col min="9703" max="9703" width="11.140625" customWidth="1"/>
    <col min="9704" max="9704" width="12.42578125" customWidth="1"/>
    <col min="9705" max="9705" width="11.42578125" customWidth="1"/>
    <col min="9706" max="9706" width="13.5703125" customWidth="1"/>
    <col min="9945" max="9945" width="23.140625" customWidth="1"/>
    <col min="9946" max="9946" width="42.85546875" customWidth="1"/>
    <col min="9948" max="9948" width="11.28515625" customWidth="1"/>
    <col min="9949" max="9949" width="12.85546875" customWidth="1"/>
    <col min="9950" max="9950" width="12.140625" customWidth="1"/>
    <col min="9951" max="9951" width="11.7109375" customWidth="1"/>
    <col min="9952" max="9952" width="11.42578125" customWidth="1"/>
    <col min="9953" max="9953" width="12.7109375" customWidth="1"/>
    <col min="9954" max="9954" width="4.140625" customWidth="1"/>
    <col min="9955" max="9955" width="35.5703125" customWidth="1"/>
    <col min="9956" max="9956" width="12.5703125" customWidth="1"/>
    <col min="9957" max="9957" width="12.28515625" customWidth="1"/>
    <col min="9958" max="9958" width="12.85546875" customWidth="1"/>
    <col min="9959" max="9959" width="11.140625" customWidth="1"/>
    <col min="9960" max="9960" width="12.42578125" customWidth="1"/>
    <col min="9961" max="9961" width="11.42578125" customWidth="1"/>
    <col min="9962" max="9962" width="13.5703125" customWidth="1"/>
    <col min="10201" max="10201" width="23.140625" customWidth="1"/>
    <col min="10202" max="10202" width="42.85546875" customWidth="1"/>
    <col min="10204" max="10204" width="11.28515625" customWidth="1"/>
    <col min="10205" max="10205" width="12.85546875" customWidth="1"/>
    <col min="10206" max="10206" width="12.140625" customWidth="1"/>
    <col min="10207" max="10207" width="11.7109375" customWidth="1"/>
    <col min="10208" max="10208" width="11.42578125" customWidth="1"/>
    <col min="10209" max="10209" width="12.7109375" customWidth="1"/>
    <col min="10210" max="10210" width="4.140625" customWidth="1"/>
    <col min="10211" max="10211" width="35.5703125" customWidth="1"/>
    <col min="10212" max="10212" width="12.5703125" customWidth="1"/>
    <col min="10213" max="10213" width="12.28515625" customWidth="1"/>
    <col min="10214" max="10214" width="12.85546875" customWidth="1"/>
    <col min="10215" max="10215" width="11.140625" customWidth="1"/>
    <col min="10216" max="10216" width="12.42578125" customWidth="1"/>
    <col min="10217" max="10217" width="11.42578125" customWidth="1"/>
    <col min="10218" max="10218" width="13.5703125" customWidth="1"/>
    <col min="10457" max="10457" width="23.140625" customWidth="1"/>
    <col min="10458" max="10458" width="42.85546875" customWidth="1"/>
    <col min="10460" max="10460" width="11.28515625" customWidth="1"/>
    <col min="10461" max="10461" width="12.85546875" customWidth="1"/>
    <col min="10462" max="10462" width="12.140625" customWidth="1"/>
    <col min="10463" max="10463" width="11.7109375" customWidth="1"/>
    <col min="10464" max="10464" width="11.42578125" customWidth="1"/>
    <col min="10465" max="10465" width="12.7109375" customWidth="1"/>
    <col min="10466" max="10466" width="4.140625" customWidth="1"/>
    <col min="10467" max="10467" width="35.5703125" customWidth="1"/>
    <col min="10468" max="10468" width="12.5703125" customWidth="1"/>
    <col min="10469" max="10469" width="12.28515625" customWidth="1"/>
    <col min="10470" max="10470" width="12.85546875" customWidth="1"/>
    <col min="10471" max="10471" width="11.140625" customWidth="1"/>
    <col min="10472" max="10472" width="12.42578125" customWidth="1"/>
    <col min="10473" max="10473" width="11.42578125" customWidth="1"/>
    <col min="10474" max="10474" width="13.5703125" customWidth="1"/>
    <col min="10713" max="10713" width="23.140625" customWidth="1"/>
    <col min="10714" max="10714" width="42.85546875" customWidth="1"/>
    <col min="10716" max="10716" width="11.28515625" customWidth="1"/>
    <col min="10717" max="10717" width="12.85546875" customWidth="1"/>
    <col min="10718" max="10718" width="12.140625" customWidth="1"/>
    <col min="10719" max="10719" width="11.7109375" customWidth="1"/>
    <col min="10720" max="10720" width="11.42578125" customWidth="1"/>
    <col min="10721" max="10721" width="12.7109375" customWidth="1"/>
    <col min="10722" max="10722" width="4.140625" customWidth="1"/>
    <col min="10723" max="10723" width="35.5703125" customWidth="1"/>
    <col min="10724" max="10724" width="12.5703125" customWidth="1"/>
    <col min="10725" max="10725" width="12.28515625" customWidth="1"/>
    <col min="10726" max="10726" width="12.85546875" customWidth="1"/>
    <col min="10727" max="10727" width="11.140625" customWidth="1"/>
    <col min="10728" max="10728" width="12.42578125" customWidth="1"/>
    <col min="10729" max="10729" width="11.42578125" customWidth="1"/>
    <col min="10730" max="10730" width="13.5703125" customWidth="1"/>
    <col min="10969" max="10969" width="23.140625" customWidth="1"/>
    <col min="10970" max="10970" width="42.85546875" customWidth="1"/>
    <col min="10972" max="10972" width="11.28515625" customWidth="1"/>
    <col min="10973" max="10973" width="12.85546875" customWidth="1"/>
    <col min="10974" max="10974" width="12.140625" customWidth="1"/>
    <col min="10975" max="10975" width="11.7109375" customWidth="1"/>
    <col min="10976" max="10976" width="11.42578125" customWidth="1"/>
    <col min="10977" max="10977" width="12.7109375" customWidth="1"/>
    <col min="10978" max="10978" width="4.140625" customWidth="1"/>
    <col min="10979" max="10979" width="35.5703125" customWidth="1"/>
    <col min="10980" max="10980" width="12.5703125" customWidth="1"/>
    <col min="10981" max="10981" width="12.28515625" customWidth="1"/>
    <col min="10982" max="10982" width="12.85546875" customWidth="1"/>
    <col min="10983" max="10983" width="11.140625" customWidth="1"/>
    <col min="10984" max="10984" width="12.42578125" customWidth="1"/>
    <col min="10985" max="10985" width="11.42578125" customWidth="1"/>
    <col min="10986" max="10986" width="13.5703125" customWidth="1"/>
    <col min="11225" max="11225" width="23.140625" customWidth="1"/>
    <col min="11226" max="11226" width="42.85546875" customWidth="1"/>
    <col min="11228" max="11228" width="11.28515625" customWidth="1"/>
    <col min="11229" max="11229" width="12.85546875" customWidth="1"/>
    <col min="11230" max="11230" width="12.140625" customWidth="1"/>
    <col min="11231" max="11231" width="11.7109375" customWidth="1"/>
    <col min="11232" max="11232" width="11.42578125" customWidth="1"/>
    <col min="11233" max="11233" width="12.7109375" customWidth="1"/>
    <col min="11234" max="11234" width="4.140625" customWidth="1"/>
    <col min="11235" max="11235" width="35.5703125" customWidth="1"/>
    <col min="11236" max="11236" width="12.5703125" customWidth="1"/>
    <col min="11237" max="11237" width="12.28515625" customWidth="1"/>
    <col min="11238" max="11238" width="12.85546875" customWidth="1"/>
    <col min="11239" max="11239" width="11.140625" customWidth="1"/>
    <col min="11240" max="11240" width="12.42578125" customWidth="1"/>
    <col min="11241" max="11241" width="11.42578125" customWidth="1"/>
    <col min="11242" max="11242" width="13.5703125" customWidth="1"/>
    <col min="11481" max="11481" width="23.140625" customWidth="1"/>
    <col min="11482" max="11482" width="42.85546875" customWidth="1"/>
    <col min="11484" max="11484" width="11.28515625" customWidth="1"/>
    <col min="11485" max="11485" width="12.85546875" customWidth="1"/>
    <col min="11486" max="11486" width="12.140625" customWidth="1"/>
    <col min="11487" max="11487" width="11.7109375" customWidth="1"/>
    <col min="11488" max="11488" width="11.42578125" customWidth="1"/>
    <col min="11489" max="11489" width="12.7109375" customWidth="1"/>
    <col min="11490" max="11490" width="4.140625" customWidth="1"/>
    <col min="11491" max="11491" width="35.5703125" customWidth="1"/>
    <col min="11492" max="11492" width="12.5703125" customWidth="1"/>
    <col min="11493" max="11493" width="12.28515625" customWidth="1"/>
    <col min="11494" max="11494" width="12.85546875" customWidth="1"/>
    <col min="11495" max="11495" width="11.140625" customWidth="1"/>
    <col min="11496" max="11496" width="12.42578125" customWidth="1"/>
    <col min="11497" max="11497" width="11.42578125" customWidth="1"/>
    <col min="11498" max="11498" width="13.5703125" customWidth="1"/>
    <col min="11737" max="11737" width="23.140625" customWidth="1"/>
    <col min="11738" max="11738" width="42.85546875" customWidth="1"/>
    <col min="11740" max="11740" width="11.28515625" customWidth="1"/>
    <col min="11741" max="11741" width="12.85546875" customWidth="1"/>
    <col min="11742" max="11742" width="12.140625" customWidth="1"/>
    <col min="11743" max="11743" width="11.7109375" customWidth="1"/>
    <col min="11744" max="11744" width="11.42578125" customWidth="1"/>
    <col min="11745" max="11745" width="12.7109375" customWidth="1"/>
    <col min="11746" max="11746" width="4.140625" customWidth="1"/>
    <col min="11747" max="11747" width="35.5703125" customWidth="1"/>
    <col min="11748" max="11748" width="12.5703125" customWidth="1"/>
    <col min="11749" max="11749" width="12.28515625" customWidth="1"/>
    <col min="11750" max="11750" width="12.85546875" customWidth="1"/>
    <col min="11751" max="11751" width="11.140625" customWidth="1"/>
    <col min="11752" max="11752" width="12.42578125" customWidth="1"/>
    <col min="11753" max="11753" width="11.42578125" customWidth="1"/>
    <col min="11754" max="11754" width="13.5703125" customWidth="1"/>
    <col min="11993" max="11993" width="23.140625" customWidth="1"/>
    <col min="11994" max="11994" width="42.85546875" customWidth="1"/>
    <col min="11996" max="11996" width="11.28515625" customWidth="1"/>
    <col min="11997" max="11997" width="12.85546875" customWidth="1"/>
    <col min="11998" max="11998" width="12.140625" customWidth="1"/>
    <col min="11999" max="11999" width="11.7109375" customWidth="1"/>
    <col min="12000" max="12000" width="11.42578125" customWidth="1"/>
    <col min="12001" max="12001" width="12.7109375" customWidth="1"/>
    <col min="12002" max="12002" width="4.140625" customWidth="1"/>
    <col min="12003" max="12003" width="35.5703125" customWidth="1"/>
    <col min="12004" max="12004" width="12.5703125" customWidth="1"/>
    <col min="12005" max="12005" width="12.28515625" customWidth="1"/>
    <col min="12006" max="12006" width="12.85546875" customWidth="1"/>
    <col min="12007" max="12007" width="11.140625" customWidth="1"/>
    <col min="12008" max="12008" width="12.42578125" customWidth="1"/>
    <col min="12009" max="12009" width="11.42578125" customWidth="1"/>
    <col min="12010" max="12010" width="13.5703125" customWidth="1"/>
    <col min="12249" max="12249" width="23.140625" customWidth="1"/>
    <col min="12250" max="12250" width="42.85546875" customWidth="1"/>
    <col min="12252" max="12252" width="11.28515625" customWidth="1"/>
    <col min="12253" max="12253" width="12.85546875" customWidth="1"/>
    <col min="12254" max="12254" width="12.140625" customWidth="1"/>
    <col min="12255" max="12255" width="11.7109375" customWidth="1"/>
    <col min="12256" max="12256" width="11.42578125" customWidth="1"/>
    <col min="12257" max="12257" width="12.7109375" customWidth="1"/>
    <col min="12258" max="12258" width="4.140625" customWidth="1"/>
    <col min="12259" max="12259" width="35.5703125" customWidth="1"/>
    <col min="12260" max="12260" width="12.5703125" customWidth="1"/>
    <col min="12261" max="12261" width="12.28515625" customWidth="1"/>
    <col min="12262" max="12262" width="12.85546875" customWidth="1"/>
    <col min="12263" max="12263" width="11.140625" customWidth="1"/>
    <col min="12264" max="12264" width="12.42578125" customWidth="1"/>
    <col min="12265" max="12265" width="11.42578125" customWidth="1"/>
    <col min="12266" max="12266" width="13.5703125" customWidth="1"/>
    <col min="12505" max="12505" width="23.140625" customWidth="1"/>
    <col min="12506" max="12506" width="42.85546875" customWidth="1"/>
    <col min="12508" max="12508" width="11.28515625" customWidth="1"/>
    <col min="12509" max="12509" width="12.85546875" customWidth="1"/>
    <col min="12510" max="12510" width="12.140625" customWidth="1"/>
    <col min="12511" max="12511" width="11.7109375" customWidth="1"/>
    <col min="12512" max="12512" width="11.42578125" customWidth="1"/>
    <col min="12513" max="12513" width="12.7109375" customWidth="1"/>
    <col min="12514" max="12514" width="4.140625" customWidth="1"/>
    <col min="12515" max="12515" width="35.5703125" customWidth="1"/>
    <col min="12516" max="12516" width="12.5703125" customWidth="1"/>
    <col min="12517" max="12517" width="12.28515625" customWidth="1"/>
    <col min="12518" max="12518" width="12.85546875" customWidth="1"/>
    <col min="12519" max="12519" width="11.140625" customWidth="1"/>
    <col min="12520" max="12520" width="12.42578125" customWidth="1"/>
    <col min="12521" max="12521" width="11.42578125" customWidth="1"/>
    <col min="12522" max="12522" width="13.5703125" customWidth="1"/>
    <col min="12761" max="12761" width="23.140625" customWidth="1"/>
    <col min="12762" max="12762" width="42.85546875" customWidth="1"/>
    <col min="12764" max="12764" width="11.28515625" customWidth="1"/>
    <col min="12765" max="12765" width="12.85546875" customWidth="1"/>
    <col min="12766" max="12766" width="12.140625" customWidth="1"/>
    <col min="12767" max="12767" width="11.7109375" customWidth="1"/>
    <col min="12768" max="12768" width="11.42578125" customWidth="1"/>
    <col min="12769" max="12769" width="12.7109375" customWidth="1"/>
    <col min="12770" max="12770" width="4.140625" customWidth="1"/>
    <col min="12771" max="12771" width="35.5703125" customWidth="1"/>
    <col min="12772" max="12772" width="12.5703125" customWidth="1"/>
    <col min="12773" max="12773" width="12.28515625" customWidth="1"/>
    <col min="12774" max="12774" width="12.85546875" customWidth="1"/>
    <col min="12775" max="12775" width="11.140625" customWidth="1"/>
    <col min="12776" max="12776" width="12.42578125" customWidth="1"/>
    <col min="12777" max="12777" width="11.42578125" customWidth="1"/>
    <col min="12778" max="12778" width="13.5703125" customWidth="1"/>
    <col min="13017" max="13017" width="23.140625" customWidth="1"/>
    <col min="13018" max="13018" width="42.85546875" customWidth="1"/>
    <col min="13020" max="13020" width="11.28515625" customWidth="1"/>
    <col min="13021" max="13021" width="12.85546875" customWidth="1"/>
    <col min="13022" max="13022" width="12.140625" customWidth="1"/>
    <col min="13023" max="13023" width="11.7109375" customWidth="1"/>
    <col min="13024" max="13024" width="11.42578125" customWidth="1"/>
    <col min="13025" max="13025" width="12.7109375" customWidth="1"/>
    <col min="13026" max="13026" width="4.140625" customWidth="1"/>
    <col min="13027" max="13027" width="35.5703125" customWidth="1"/>
    <col min="13028" max="13028" width="12.5703125" customWidth="1"/>
    <col min="13029" max="13029" width="12.28515625" customWidth="1"/>
    <col min="13030" max="13030" width="12.85546875" customWidth="1"/>
    <col min="13031" max="13031" width="11.140625" customWidth="1"/>
    <col min="13032" max="13032" width="12.42578125" customWidth="1"/>
    <col min="13033" max="13033" width="11.42578125" customWidth="1"/>
    <col min="13034" max="13034" width="13.5703125" customWidth="1"/>
    <col min="13273" max="13273" width="23.140625" customWidth="1"/>
    <col min="13274" max="13274" width="42.85546875" customWidth="1"/>
    <col min="13276" max="13276" width="11.28515625" customWidth="1"/>
    <col min="13277" max="13277" width="12.85546875" customWidth="1"/>
    <col min="13278" max="13278" width="12.140625" customWidth="1"/>
    <col min="13279" max="13279" width="11.7109375" customWidth="1"/>
    <col min="13280" max="13280" width="11.42578125" customWidth="1"/>
    <col min="13281" max="13281" width="12.7109375" customWidth="1"/>
    <col min="13282" max="13282" width="4.140625" customWidth="1"/>
    <col min="13283" max="13283" width="35.5703125" customWidth="1"/>
    <col min="13284" max="13284" width="12.5703125" customWidth="1"/>
    <col min="13285" max="13285" width="12.28515625" customWidth="1"/>
    <col min="13286" max="13286" width="12.85546875" customWidth="1"/>
    <col min="13287" max="13287" width="11.140625" customWidth="1"/>
    <col min="13288" max="13288" width="12.42578125" customWidth="1"/>
    <col min="13289" max="13289" width="11.42578125" customWidth="1"/>
    <col min="13290" max="13290" width="13.5703125" customWidth="1"/>
    <col min="13529" max="13529" width="23.140625" customWidth="1"/>
    <col min="13530" max="13530" width="42.85546875" customWidth="1"/>
    <col min="13532" max="13532" width="11.28515625" customWidth="1"/>
    <col min="13533" max="13533" width="12.85546875" customWidth="1"/>
    <col min="13534" max="13534" width="12.140625" customWidth="1"/>
    <col min="13535" max="13535" width="11.7109375" customWidth="1"/>
    <col min="13536" max="13536" width="11.42578125" customWidth="1"/>
    <col min="13537" max="13537" width="12.7109375" customWidth="1"/>
    <col min="13538" max="13538" width="4.140625" customWidth="1"/>
    <col min="13539" max="13539" width="35.5703125" customWidth="1"/>
    <col min="13540" max="13540" width="12.5703125" customWidth="1"/>
    <col min="13541" max="13541" width="12.28515625" customWidth="1"/>
    <col min="13542" max="13542" width="12.85546875" customWidth="1"/>
    <col min="13543" max="13543" width="11.140625" customWidth="1"/>
    <col min="13544" max="13544" width="12.42578125" customWidth="1"/>
    <col min="13545" max="13545" width="11.42578125" customWidth="1"/>
    <col min="13546" max="13546" width="13.5703125" customWidth="1"/>
    <col min="13785" max="13785" width="23.140625" customWidth="1"/>
    <col min="13786" max="13786" width="42.85546875" customWidth="1"/>
    <col min="13788" max="13788" width="11.28515625" customWidth="1"/>
    <col min="13789" max="13789" width="12.85546875" customWidth="1"/>
    <col min="13790" max="13790" width="12.140625" customWidth="1"/>
    <col min="13791" max="13791" width="11.7109375" customWidth="1"/>
    <col min="13792" max="13792" width="11.42578125" customWidth="1"/>
    <col min="13793" max="13793" width="12.7109375" customWidth="1"/>
    <col min="13794" max="13794" width="4.140625" customWidth="1"/>
    <col min="13795" max="13795" width="35.5703125" customWidth="1"/>
    <col min="13796" max="13796" width="12.5703125" customWidth="1"/>
    <col min="13797" max="13797" width="12.28515625" customWidth="1"/>
    <col min="13798" max="13798" width="12.85546875" customWidth="1"/>
    <col min="13799" max="13799" width="11.140625" customWidth="1"/>
    <col min="13800" max="13800" width="12.42578125" customWidth="1"/>
    <col min="13801" max="13801" width="11.42578125" customWidth="1"/>
    <col min="13802" max="13802" width="13.5703125" customWidth="1"/>
    <col min="14041" max="14041" width="23.140625" customWidth="1"/>
    <col min="14042" max="14042" width="42.85546875" customWidth="1"/>
    <col min="14044" max="14044" width="11.28515625" customWidth="1"/>
    <col min="14045" max="14045" width="12.85546875" customWidth="1"/>
    <col min="14046" max="14046" width="12.140625" customWidth="1"/>
    <col min="14047" max="14047" width="11.7109375" customWidth="1"/>
    <col min="14048" max="14048" width="11.42578125" customWidth="1"/>
    <col min="14049" max="14049" width="12.7109375" customWidth="1"/>
    <col min="14050" max="14050" width="4.140625" customWidth="1"/>
    <col min="14051" max="14051" width="35.5703125" customWidth="1"/>
    <col min="14052" max="14052" width="12.5703125" customWidth="1"/>
    <col min="14053" max="14053" width="12.28515625" customWidth="1"/>
    <col min="14054" max="14054" width="12.85546875" customWidth="1"/>
    <col min="14055" max="14055" width="11.140625" customWidth="1"/>
    <col min="14056" max="14056" width="12.42578125" customWidth="1"/>
    <col min="14057" max="14057" width="11.42578125" customWidth="1"/>
    <col min="14058" max="14058" width="13.5703125" customWidth="1"/>
    <col min="14297" max="14297" width="23.140625" customWidth="1"/>
    <col min="14298" max="14298" width="42.85546875" customWidth="1"/>
    <col min="14300" max="14300" width="11.28515625" customWidth="1"/>
    <col min="14301" max="14301" width="12.85546875" customWidth="1"/>
    <col min="14302" max="14302" width="12.140625" customWidth="1"/>
    <col min="14303" max="14303" width="11.7109375" customWidth="1"/>
    <col min="14304" max="14304" width="11.42578125" customWidth="1"/>
    <col min="14305" max="14305" width="12.7109375" customWidth="1"/>
    <col min="14306" max="14306" width="4.140625" customWidth="1"/>
    <col min="14307" max="14307" width="35.5703125" customWidth="1"/>
    <col min="14308" max="14308" width="12.5703125" customWidth="1"/>
    <col min="14309" max="14309" width="12.28515625" customWidth="1"/>
    <col min="14310" max="14310" width="12.85546875" customWidth="1"/>
    <col min="14311" max="14311" width="11.140625" customWidth="1"/>
    <col min="14312" max="14312" width="12.42578125" customWidth="1"/>
    <col min="14313" max="14313" width="11.42578125" customWidth="1"/>
    <col min="14314" max="14314" width="13.5703125" customWidth="1"/>
    <col min="14553" max="14553" width="23.140625" customWidth="1"/>
    <col min="14554" max="14554" width="42.85546875" customWidth="1"/>
    <col min="14556" max="14556" width="11.28515625" customWidth="1"/>
    <col min="14557" max="14557" width="12.85546875" customWidth="1"/>
    <col min="14558" max="14558" width="12.140625" customWidth="1"/>
    <col min="14559" max="14559" width="11.7109375" customWidth="1"/>
    <col min="14560" max="14560" width="11.42578125" customWidth="1"/>
    <col min="14561" max="14561" width="12.7109375" customWidth="1"/>
    <col min="14562" max="14562" width="4.140625" customWidth="1"/>
    <col min="14563" max="14563" width="35.5703125" customWidth="1"/>
    <col min="14564" max="14564" width="12.5703125" customWidth="1"/>
    <col min="14565" max="14565" width="12.28515625" customWidth="1"/>
    <col min="14566" max="14566" width="12.85546875" customWidth="1"/>
    <col min="14567" max="14567" width="11.140625" customWidth="1"/>
    <col min="14568" max="14568" width="12.42578125" customWidth="1"/>
    <col min="14569" max="14569" width="11.42578125" customWidth="1"/>
    <col min="14570" max="14570" width="13.5703125" customWidth="1"/>
    <col min="14809" max="14809" width="23.140625" customWidth="1"/>
    <col min="14810" max="14810" width="42.85546875" customWidth="1"/>
    <col min="14812" max="14812" width="11.28515625" customWidth="1"/>
    <col min="14813" max="14813" width="12.85546875" customWidth="1"/>
    <col min="14814" max="14814" width="12.140625" customWidth="1"/>
    <col min="14815" max="14815" width="11.7109375" customWidth="1"/>
    <col min="14816" max="14816" width="11.42578125" customWidth="1"/>
    <col min="14817" max="14817" width="12.7109375" customWidth="1"/>
    <col min="14818" max="14818" width="4.140625" customWidth="1"/>
    <col min="14819" max="14819" width="35.5703125" customWidth="1"/>
    <col min="14820" max="14820" width="12.5703125" customWidth="1"/>
    <col min="14821" max="14821" width="12.28515625" customWidth="1"/>
    <col min="14822" max="14822" width="12.85546875" customWidth="1"/>
    <col min="14823" max="14823" width="11.140625" customWidth="1"/>
    <col min="14824" max="14824" width="12.42578125" customWidth="1"/>
    <col min="14825" max="14825" width="11.42578125" customWidth="1"/>
    <col min="14826" max="14826" width="13.5703125" customWidth="1"/>
    <col min="15065" max="15065" width="23.140625" customWidth="1"/>
    <col min="15066" max="15066" width="42.85546875" customWidth="1"/>
    <col min="15068" max="15068" width="11.28515625" customWidth="1"/>
    <col min="15069" max="15069" width="12.85546875" customWidth="1"/>
    <col min="15070" max="15070" width="12.140625" customWidth="1"/>
    <col min="15071" max="15071" width="11.7109375" customWidth="1"/>
    <col min="15072" max="15072" width="11.42578125" customWidth="1"/>
    <col min="15073" max="15073" width="12.7109375" customWidth="1"/>
    <col min="15074" max="15074" width="4.140625" customWidth="1"/>
    <col min="15075" max="15075" width="35.5703125" customWidth="1"/>
    <col min="15076" max="15076" width="12.5703125" customWidth="1"/>
    <col min="15077" max="15077" width="12.28515625" customWidth="1"/>
    <col min="15078" max="15078" width="12.85546875" customWidth="1"/>
    <col min="15079" max="15079" width="11.140625" customWidth="1"/>
    <col min="15080" max="15080" width="12.42578125" customWidth="1"/>
    <col min="15081" max="15081" width="11.42578125" customWidth="1"/>
    <col min="15082" max="15082" width="13.5703125" customWidth="1"/>
    <col min="15321" max="15321" width="23.140625" customWidth="1"/>
    <col min="15322" max="15322" width="42.85546875" customWidth="1"/>
    <col min="15324" max="15324" width="11.28515625" customWidth="1"/>
    <col min="15325" max="15325" width="12.85546875" customWidth="1"/>
    <col min="15326" max="15326" width="12.140625" customWidth="1"/>
    <col min="15327" max="15327" width="11.7109375" customWidth="1"/>
    <col min="15328" max="15328" width="11.42578125" customWidth="1"/>
    <col min="15329" max="15329" width="12.7109375" customWidth="1"/>
    <col min="15330" max="15330" width="4.140625" customWidth="1"/>
    <col min="15331" max="15331" width="35.5703125" customWidth="1"/>
    <col min="15332" max="15332" width="12.5703125" customWidth="1"/>
    <col min="15333" max="15333" width="12.28515625" customWidth="1"/>
    <col min="15334" max="15334" width="12.85546875" customWidth="1"/>
    <col min="15335" max="15335" width="11.140625" customWidth="1"/>
    <col min="15336" max="15336" width="12.42578125" customWidth="1"/>
    <col min="15337" max="15337" width="11.42578125" customWidth="1"/>
    <col min="15338" max="15338" width="13.5703125" customWidth="1"/>
    <col min="15577" max="15577" width="23.140625" customWidth="1"/>
    <col min="15578" max="15578" width="42.85546875" customWidth="1"/>
    <col min="15580" max="15580" width="11.28515625" customWidth="1"/>
    <col min="15581" max="15581" width="12.85546875" customWidth="1"/>
    <col min="15582" max="15582" width="12.140625" customWidth="1"/>
    <col min="15583" max="15583" width="11.7109375" customWidth="1"/>
    <col min="15584" max="15584" width="11.42578125" customWidth="1"/>
    <col min="15585" max="15585" width="12.7109375" customWidth="1"/>
    <col min="15586" max="15586" width="4.140625" customWidth="1"/>
    <col min="15587" max="15587" width="35.5703125" customWidth="1"/>
    <col min="15588" max="15588" width="12.5703125" customWidth="1"/>
    <col min="15589" max="15589" width="12.28515625" customWidth="1"/>
    <col min="15590" max="15590" width="12.85546875" customWidth="1"/>
    <col min="15591" max="15591" width="11.140625" customWidth="1"/>
    <col min="15592" max="15592" width="12.42578125" customWidth="1"/>
    <col min="15593" max="15593" width="11.42578125" customWidth="1"/>
    <col min="15594" max="15594" width="13.5703125" customWidth="1"/>
    <col min="15833" max="15833" width="23.140625" customWidth="1"/>
    <col min="15834" max="15834" width="42.85546875" customWidth="1"/>
    <col min="15836" max="15836" width="11.28515625" customWidth="1"/>
    <col min="15837" max="15837" width="12.85546875" customWidth="1"/>
    <col min="15838" max="15838" width="12.140625" customWidth="1"/>
    <col min="15839" max="15839" width="11.7109375" customWidth="1"/>
    <col min="15840" max="15840" width="11.42578125" customWidth="1"/>
    <col min="15841" max="15841" width="12.7109375" customWidth="1"/>
    <col min="15842" max="15842" width="4.140625" customWidth="1"/>
    <col min="15843" max="15843" width="35.5703125" customWidth="1"/>
    <col min="15844" max="15844" width="12.5703125" customWidth="1"/>
    <col min="15845" max="15845" width="12.28515625" customWidth="1"/>
    <col min="15846" max="15846" width="12.85546875" customWidth="1"/>
    <col min="15847" max="15847" width="11.140625" customWidth="1"/>
    <col min="15848" max="15848" width="12.42578125" customWidth="1"/>
    <col min="15849" max="15849" width="11.42578125" customWidth="1"/>
    <col min="15850" max="15850" width="13.5703125" customWidth="1"/>
    <col min="16089" max="16089" width="23.140625" customWidth="1"/>
    <col min="16090" max="16090" width="42.85546875" customWidth="1"/>
    <col min="16092" max="16092" width="11.28515625" customWidth="1"/>
    <col min="16093" max="16093" width="12.85546875" customWidth="1"/>
    <col min="16094" max="16094" width="12.140625" customWidth="1"/>
    <col min="16095" max="16095" width="11.7109375" customWidth="1"/>
    <col min="16096" max="16096" width="11.42578125" customWidth="1"/>
    <col min="16097" max="16097" width="12.7109375" customWidth="1"/>
    <col min="16098" max="16098" width="4.140625" customWidth="1"/>
    <col min="16099" max="16099" width="35.5703125" customWidth="1"/>
    <col min="16100" max="16100" width="12.5703125" customWidth="1"/>
    <col min="16101" max="16101" width="12.28515625" customWidth="1"/>
    <col min="16102" max="16102" width="12.85546875" customWidth="1"/>
    <col min="16103" max="16103" width="11.140625" customWidth="1"/>
    <col min="16104" max="16104" width="12.42578125" customWidth="1"/>
    <col min="16105" max="16105" width="11.42578125" customWidth="1"/>
    <col min="16106" max="16106" width="13.5703125" customWidth="1"/>
  </cols>
  <sheetData>
    <row r="5" spans="1:9" ht="18.75" x14ac:dyDescent="0.3">
      <c r="A5" s="4"/>
      <c r="B5" s="1" t="s">
        <v>210</v>
      </c>
      <c r="C5" s="4"/>
      <c r="D5" s="4"/>
      <c r="E5" s="4"/>
      <c r="F5" s="4"/>
      <c r="G5" s="3"/>
      <c r="H5" s="3"/>
      <c r="I5" s="360"/>
    </row>
    <row r="6" spans="1:9" ht="18.75" x14ac:dyDescent="0.3">
      <c r="A6" s="1" t="s">
        <v>0</v>
      </c>
      <c r="B6" s="1"/>
      <c r="C6" s="1"/>
      <c r="D6" s="1"/>
      <c r="E6" s="1"/>
      <c r="F6" s="1"/>
      <c r="G6" s="3"/>
      <c r="H6" s="3"/>
      <c r="I6" s="360"/>
    </row>
    <row r="7" spans="1:9" ht="18.75" x14ac:dyDescent="0.3">
      <c r="A7" s="1" t="s">
        <v>1</v>
      </c>
      <c r="B7" s="1"/>
      <c r="C7" s="1"/>
      <c r="D7" s="1"/>
      <c r="E7" s="1"/>
      <c r="F7" s="1"/>
      <c r="G7" s="3"/>
      <c r="H7" s="3"/>
      <c r="I7" s="360"/>
    </row>
    <row r="8" spans="1:9" ht="18.75" x14ac:dyDescent="0.3">
      <c r="A8" s="1" t="s">
        <v>212</v>
      </c>
      <c r="B8" s="1"/>
      <c r="C8" s="1"/>
      <c r="D8" s="1"/>
      <c r="E8" s="1"/>
      <c r="F8" s="1"/>
      <c r="G8" s="3"/>
      <c r="H8" s="3"/>
      <c r="I8" s="360"/>
    </row>
    <row r="9" spans="1:9" ht="18.75" x14ac:dyDescent="0.3">
      <c r="A9" s="1" t="s">
        <v>2</v>
      </c>
      <c r="B9" s="1"/>
      <c r="C9" s="1"/>
      <c r="D9" s="1"/>
      <c r="E9" s="1"/>
      <c r="F9" s="1"/>
      <c r="G9" s="3"/>
      <c r="H9" s="3"/>
      <c r="I9" s="360"/>
    </row>
    <row r="10" spans="1:9" ht="15.75" x14ac:dyDescent="0.25">
      <c r="A10" s="2"/>
      <c r="B10" s="2" t="s">
        <v>3</v>
      </c>
      <c r="C10" s="2"/>
      <c r="D10" s="2"/>
      <c r="E10" s="2"/>
      <c r="F10" s="2"/>
      <c r="G10" s="3"/>
      <c r="H10" s="3"/>
      <c r="I10" s="361"/>
    </row>
    <row r="11" spans="1:9" ht="16.5" thickBot="1" x14ac:dyDescent="0.3">
      <c r="A11" s="2" t="s">
        <v>3</v>
      </c>
      <c r="B11" s="2"/>
      <c r="C11" s="2"/>
      <c r="D11" s="2"/>
      <c r="E11" s="2"/>
      <c r="F11" s="2"/>
      <c r="G11" s="3"/>
      <c r="H11" s="3"/>
      <c r="I11" s="360"/>
    </row>
    <row r="12" spans="1:9" x14ac:dyDescent="0.25">
      <c r="A12" s="6" t="s">
        <v>7</v>
      </c>
      <c r="B12" s="7"/>
      <c r="C12" s="8"/>
      <c r="D12" s="8"/>
      <c r="E12" s="8"/>
      <c r="F12" s="8"/>
      <c r="G12" s="8"/>
      <c r="H12" s="9"/>
      <c r="I12" s="360"/>
    </row>
    <row r="13" spans="1:9" x14ac:dyDescent="0.25">
      <c r="A13" s="10" t="s">
        <v>15</v>
      </c>
      <c r="B13" s="11">
        <f>B15+B16</f>
        <v>12413.7</v>
      </c>
      <c r="C13" s="12"/>
      <c r="D13" s="12"/>
      <c r="E13" s="12"/>
      <c r="F13" s="12"/>
      <c r="G13" s="12"/>
      <c r="H13" s="13"/>
      <c r="I13" s="360"/>
    </row>
    <row r="14" spans="1:9" x14ac:dyDescent="0.25">
      <c r="A14" s="14" t="s">
        <v>17</v>
      </c>
      <c r="B14" s="15" t="s">
        <v>18</v>
      </c>
      <c r="C14" s="16"/>
      <c r="D14" s="16"/>
      <c r="E14" s="16"/>
      <c r="F14" s="16"/>
      <c r="G14" s="16"/>
      <c r="H14" s="17"/>
      <c r="I14" s="360"/>
    </row>
    <row r="15" spans="1:9" x14ac:dyDescent="0.25">
      <c r="A15" s="18" t="s">
        <v>21</v>
      </c>
      <c r="B15" s="11">
        <v>12413.7</v>
      </c>
      <c r="C15" s="12"/>
      <c r="D15" s="12"/>
      <c r="E15" s="12"/>
      <c r="F15" s="12"/>
      <c r="G15" s="12"/>
      <c r="H15" s="13"/>
      <c r="I15" s="360"/>
    </row>
    <row r="16" spans="1:9" ht="15.75" thickBot="1" x14ac:dyDescent="0.3">
      <c r="A16" s="19" t="s">
        <v>22</v>
      </c>
      <c r="B16" s="20">
        <v>0</v>
      </c>
      <c r="C16" s="21"/>
      <c r="D16" s="21"/>
      <c r="E16" s="21"/>
      <c r="F16" s="21"/>
      <c r="G16" s="21"/>
      <c r="H16" s="22"/>
      <c r="I16" s="360"/>
    </row>
    <row r="17" spans="1:9" x14ac:dyDescent="0.25">
      <c r="A17" s="23"/>
      <c r="B17" s="24"/>
      <c r="C17" s="12" t="s">
        <v>23</v>
      </c>
      <c r="D17" s="25"/>
      <c r="E17" s="102" t="s">
        <v>24</v>
      </c>
      <c r="F17" s="103"/>
      <c r="G17" s="12" t="s">
        <v>25</v>
      </c>
      <c r="H17" s="27"/>
      <c r="I17" s="361"/>
    </row>
    <row r="18" spans="1:9" x14ac:dyDescent="0.25">
      <c r="A18" s="23" t="s">
        <v>27</v>
      </c>
      <c r="B18" s="28" t="s">
        <v>28</v>
      </c>
      <c r="C18" s="29" t="s">
        <v>29</v>
      </c>
      <c r="D18" s="30" t="s">
        <v>30</v>
      </c>
      <c r="E18" s="29" t="s">
        <v>29</v>
      </c>
      <c r="F18" s="30" t="s">
        <v>30</v>
      </c>
      <c r="G18" s="31" t="s">
        <v>29</v>
      </c>
      <c r="H18" s="30" t="s">
        <v>30</v>
      </c>
      <c r="I18" s="361"/>
    </row>
    <row r="19" spans="1:9" x14ac:dyDescent="0.25">
      <c r="A19" s="23" t="s">
        <v>31</v>
      </c>
      <c r="B19" s="24"/>
      <c r="C19" s="29" t="s">
        <v>32</v>
      </c>
      <c r="D19" s="30" t="s">
        <v>33</v>
      </c>
      <c r="E19" s="29" t="s">
        <v>32</v>
      </c>
      <c r="F19" s="30" t="s">
        <v>34</v>
      </c>
      <c r="G19" s="31" t="s">
        <v>32</v>
      </c>
      <c r="H19" s="30" t="s">
        <v>34</v>
      </c>
      <c r="I19" s="360"/>
    </row>
    <row r="20" spans="1:9" x14ac:dyDescent="0.25">
      <c r="A20" s="23"/>
      <c r="B20" s="24"/>
      <c r="C20" s="10"/>
      <c r="D20" s="30" t="s">
        <v>35</v>
      </c>
      <c r="E20" s="10"/>
      <c r="F20" s="30" t="s">
        <v>35</v>
      </c>
      <c r="G20" s="99"/>
      <c r="H20" s="30" t="s">
        <v>35</v>
      </c>
      <c r="I20" s="360"/>
    </row>
    <row r="21" spans="1:9" x14ac:dyDescent="0.25">
      <c r="A21" s="26"/>
      <c r="B21" s="33"/>
      <c r="C21" s="34" t="s">
        <v>20</v>
      </c>
      <c r="D21" s="27" t="s">
        <v>19</v>
      </c>
      <c r="E21" s="34" t="s">
        <v>20</v>
      </c>
      <c r="F21" s="27" t="s">
        <v>19</v>
      </c>
      <c r="G21" s="35" t="s">
        <v>20</v>
      </c>
      <c r="H21" s="27" t="s">
        <v>19</v>
      </c>
      <c r="I21" s="360"/>
    </row>
    <row r="22" spans="1:9" ht="16.5" customHeight="1" x14ac:dyDescent="0.25">
      <c r="A22" s="36" t="s">
        <v>36</v>
      </c>
      <c r="B22" s="28" t="s">
        <v>37</v>
      </c>
      <c r="C22" s="52">
        <f>D22*4*12413.7</f>
        <v>210536.35200000001</v>
      </c>
      <c r="D22" s="37">
        <v>4.24</v>
      </c>
      <c r="E22" s="52">
        <f>F22*4*12413.7</f>
        <v>210536.35200000001</v>
      </c>
      <c r="F22" s="37">
        <v>4.24</v>
      </c>
      <c r="G22" s="55">
        <f>C22-E22</f>
        <v>0</v>
      </c>
      <c r="H22" s="37">
        <f>D22-F22</f>
        <v>0</v>
      </c>
      <c r="I22" s="362"/>
    </row>
    <row r="23" spans="1:9" ht="16.5" customHeight="1" x14ac:dyDescent="0.25">
      <c r="A23" s="36" t="s">
        <v>38</v>
      </c>
      <c r="B23" s="28" t="s">
        <v>39</v>
      </c>
      <c r="C23" s="89"/>
      <c r="D23" s="45"/>
      <c r="E23" s="89"/>
      <c r="F23" s="45"/>
      <c r="G23" s="90"/>
      <c r="H23" s="45"/>
      <c r="I23" s="360"/>
    </row>
    <row r="24" spans="1:9" ht="16.5" customHeight="1" x14ac:dyDescent="0.25">
      <c r="A24" s="36" t="s">
        <v>86</v>
      </c>
      <c r="B24" s="28" t="s">
        <v>41</v>
      </c>
      <c r="C24" s="89"/>
      <c r="D24" s="45"/>
      <c r="E24" s="89"/>
      <c r="F24" s="45"/>
      <c r="G24" s="90"/>
      <c r="H24" s="45"/>
      <c r="I24" s="360"/>
    </row>
    <row r="25" spans="1:9" ht="16.5" customHeight="1" x14ac:dyDescent="0.25">
      <c r="A25" s="36" t="s">
        <v>99</v>
      </c>
      <c r="B25" s="28" t="s">
        <v>43</v>
      </c>
      <c r="C25" s="89"/>
      <c r="D25" s="45"/>
      <c r="E25" s="89"/>
      <c r="F25" s="45"/>
      <c r="G25" s="90"/>
      <c r="H25" s="45"/>
      <c r="I25" s="360"/>
    </row>
    <row r="26" spans="1:9" ht="16.5" customHeight="1" x14ac:dyDescent="0.25">
      <c r="A26" s="23" t="s">
        <v>40</v>
      </c>
      <c r="B26" s="28" t="s">
        <v>152</v>
      </c>
      <c r="C26" s="89"/>
      <c r="D26" s="45"/>
      <c r="E26" s="89"/>
      <c r="F26" s="45"/>
      <c r="G26" s="90"/>
      <c r="H26" s="45"/>
      <c r="I26" s="360"/>
    </row>
    <row r="27" spans="1:9" ht="16.5" customHeight="1" x14ac:dyDescent="0.25">
      <c r="A27" s="23" t="s">
        <v>42</v>
      </c>
      <c r="B27" s="28" t="s">
        <v>46</v>
      </c>
      <c r="C27" s="89"/>
      <c r="D27" s="45"/>
      <c r="E27" s="89"/>
      <c r="F27" s="45"/>
      <c r="G27" s="90"/>
      <c r="H27" s="45"/>
      <c r="I27" s="360"/>
    </row>
    <row r="28" spans="1:9" ht="15.75" customHeight="1" x14ac:dyDescent="0.25">
      <c r="A28" s="23" t="s">
        <v>44</v>
      </c>
      <c r="B28" s="28"/>
      <c r="C28" s="89"/>
      <c r="D28" s="45"/>
      <c r="E28" s="89"/>
      <c r="F28" s="45"/>
      <c r="G28" s="90"/>
      <c r="H28" s="45"/>
      <c r="I28" s="360"/>
    </row>
    <row r="29" spans="1:9" ht="15.75" customHeight="1" x14ac:dyDescent="0.25">
      <c r="A29" s="23" t="s">
        <v>45</v>
      </c>
      <c r="B29" s="28" t="s">
        <v>3</v>
      </c>
      <c r="C29" s="89"/>
      <c r="D29" s="45"/>
      <c r="E29" s="89"/>
      <c r="F29" s="45"/>
      <c r="G29" s="90"/>
      <c r="H29" s="45"/>
      <c r="I29" s="360"/>
    </row>
    <row r="30" spans="1:9" x14ac:dyDescent="0.25">
      <c r="A30" s="23" t="s">
        <v>47</v>
      </c>
      <c r="B30" s="28" t="s">
        <v>3</v>
      </c>
      <c r="C30" s="89"/>
      <c r="D30" s="45"/>
      <c r="E30" s="89"/>
      <c r="F30" s="45"/>
      <c r="G30" s="90"/>
      <c r="H30" s="45"/>
      <c r="I30" s="360"/>
    </row>
    <row r="31" spans="1:9" x14ac:dyDescent="0.25">
      <c r="A31" s="23"/>
      <c r="B31" s="28"/>
      <c r="C31" s="89"/>
      <c r="D31" s="45"/>
      <c r="E31" s="89"/>
      <c r="F31" s="45"/>
      <c r="G31" s="90"/>
      <c r="H31" s="45"/>
      <c r="I31" s="360"/>
    </row>
    <row r="32" spans="1:9" x14ac:dyDescent="0.25">
      <c r="A32" s="75" t="s">
        <v>156</v>
      </c>
      <c r="B32" s="39" t="s">
        <v>37</v>
      </c>
      <c r="C32" s="52">
        <f>D32*4*12413.7</f>
        <v>246287.80800000002</v>
      </c>
      <c r="D32" s="40">
        <v>4.96</v>
      </c>
      <c r="E32" s="52">
        <f>F32*4*12413.7</f>
        <v>246287.80800000002</v>
      </c>
      <c r="F32" s="40">
        <v>4.96</v>
      </c>
      <c r="G32" s="55">
        <f>C32-E32</f>
        <v>0</v>
      </c>
      <c r="H32" s="40">
        <f>D32-F32</f>
        <v>0</v>
      </c>
      <c r="I32" s="362"/>
    </row>
    <row r="33" spans="1:9" x14ac:dyDescent="0.25">
      <c r="A33" s="76" t="s">
        <v>157</v>
      </c>
      <c r="B33" s="41" t="s">
        <v>39</v>
      </c>
      <c r="C33" s="89"/>
      <c r="D33" s="45"/>
      <c r="E33" s="89"/>
      <c r="F33" s="45"/>
      <c r="G33" s="90"/>
      <c r="H33" s="45"/>
      <c r="I33" s="360"/>
    </row>
    <row r="34" spans="1:9" x14ac:dyDescent="0.25">
      <c r="A34" s="77" t="s">
        <v>158</v>
      </c>
      <c r="B34" s="41" t="s">
        <v>41</v>
      </c>
      <c r="C34" s="89"/>
      <c r="D34" s="45"/>
      <c r="E34" s="89"/>
      <c r="F34" s="45"/>
      <c r="G34" s="90"/>
      <c r="H34" s="45"/>
      <c r="I34" s="360"/>
    </row>
    <row r="35" spans="1:9" x14ac:dyDescent="0.25">
      <c r="A35" s="76" t="s">
        <v>159</v>
      </c>
      <c r="B35" s="41" t="s">
        <v>48</v>
      </c>
      <c r="C35" s="89"/>
      <c r="D35" s="45"/>
      <c r="E35" s="89"/>
      <c r="F35" s="45"/>
      <c r="G35" s="90"/>
      <c r="H35" s="45"/>
      <c r="I35" s="360"/>
    </row>
    <row r="36" spans="1:9" x14ac:dyDescent="0.25">
      <c r="A36" s="78" t="s">
        <v>160</v>
      </c>
      <c r="B36" s="41" t="s">
        <v>50</v>
      </c>
      <c r="C36" s="89"/>
      <c r="D36" s="45"/>
      <c r="E36" s="89"/>
      <c r="F36" s="45"/>
      <c r="G36" s="90"/>
      <c r="H36" s="45"/>
      <c r="I36" s="360"/>
    </row>
    <row r="37" spans="1:9" x14ac:dyDescent="0.25">
      <c r="A37" s="23" t="s">
        <v>40</v>
      </c>
      <c r="B37" s="41" t="s">
        <v>52</v>
      </c>
      <c r="C37" s="89"/>
      <c r="D37" s="45"/>
      <c r="E37" s="89"/>
      <c r="F37" s="45"/>
      <c r="G37" s="90"/>
      <c r="H37" s="45"/>
      <c r="I37" s="360"/>
    </row>
    <row r="38" spans="1:9" x14ac:dyDescent="0.25">
      <c r="A38" s="23" t="s">
        <v>42</v>
      </c>
      <c r="B38" s="41" t="s">
        <v>53</v>
      </c>
      <c r="C38" s="89"/>
      <c r="D38" s="45"/>
      <c r="E38" s="89"/>
      <c r="F38" s="45"/>
      <c r="G38" s="90"/>
      <c r="H38" s="45"/>
      <c r="I38" s="360"/>
    </row>
    <row r="39" spans="1:9" x14ac:dyDescent="0.25">
      <c r="A39" s="23" t="s">
        <v>44</v>
      </c>
      <c r="B39" s="41" t="s">
        <v>54</v>
      </c>
      <c r="C39" s="89"/>
      <c r="D39" s="45"/>
      <c r="E39" s="89"/>
      <c r="F39" s="45"/>
      <c r="G39" s="90"/>
      <c r="H39" s="45"/>
      <c r="I39" s="360"/>
    </row>
    <row r="40" spans="1:9" x14ac:dyDescent="0.25">
      <c r="A40" s="23" t="s">
        <v>45</v>
      </c>
      <c r="B40" s="41" t="s">
        <v>55</v>
      </c>
      <c r="C40" s="89"/>
      <c r="D40" s="45"/>
      <c r="E40" s="89"/>
      <c r="F40" s="45"/>
      <c r="G40" s="90"/>
      <c r="H40" s="45"/>
      <c r="I40" s="360"/>
    </row>
    <row r="41" spans="1:9" ht="20.25" customHeight="1" x14ac:dyDescent="0.25">
      <c r="A41" s="23" t="s">
        <v>47</v>
      </c>
      <c r="B41" s="41" t="s">
        <v>57</v>
      </c>
      <c r="C41" s="89"/>
      <c r="D41" s="45"/>
      <c r="E41" s="89"/>
      <c r="F41" s="45"/>
      <c r="G41" s="90"/>
      <c r="H41" s="45"/>
      <c r="I41" s="360"/>
    </row>
    <row r="42" spans="1:9" x14ac:dyDescent="0.25">
      <c r="A42" s="23"/>
      <c r="B42" s="41" t="s">
        <v>58</v>
      </c>
      <c r="C42" s="89"/>
      <c r="D42" s="45"/>
      <c r="E42" s="89"/>
      <c r="F42" s="45"/>
      <c r="G42" s="90"/>
      <c r="H42" s="45"/>
      <c r="I42" s="360"/>
    </row>
    <row r="43" spans="1:9" x14ac:dyDescent="0.25">
      <c r="A43" s="23"/>
      <c r="B43" s="41" t="s">
        <v>59</v>
      </c>
      <c r="C43" s="89"/>
      <c r="D43" s="45"/>
      <c r="E43" s="89"/>
      <c r="F43" s="45"/>
      <c r="G43" s="90"/>
      <c r="H43" s="45"/>
      <c r="I43" s="360"/>
    </row>
    <row r="44" spans="1:9" x14ac:dyDescent="0.25">
      <c r="A44" s="23"/>
      <c r="B44" s="41" t="s">
        <v>61</v>
      </c>
      <c r="C44" s="89"/>
      <c r="D44" s="45"/>
      <c r="E44" s="89"/>
      <c r="F44" s="45"/>
      <c r="G44" s="90"/>
      <c r="H44" s="45"/>
      <c r="I44" s="360"/>
    </row>
    <row r="45" spans="1:9" x14ac:dyDescent="0.25">
      <c r="A45" s="23"/>
      <c r="B45" s="41" t="s">
        <v>62</v>
      </c>
      <c r="C45" s="89"/>
      <c r="D45" s="45"/>
      <c r="E45" s="89"/>
      <c r="F45" s="45"/>
      <c r="G45" s="90"/>
      <c r="H45" s="45"/>
      <c r="I45" s="360"/>
    </row>
    <row r="46" spans="1:9" x14ac:dyDescent="0.25">
      <c r="A46" s="26"/>
      <c r="B46" s="33"/>
      <c r="C46" s="91"/>
      <c r="D46" s="92"/>
      <c r="E46" s="91"/>
      <c r="F46" s="92"/>
      <c r="G46" s="93"/>
      <c r="H46" s="92"/>
      <c r="I46" s="360"/>
    </row>
    <row r="47" spans="1:9" x14ac:dyDescent="0.25">
      <c r="A47" s="38" t="s">
        <v>63</v>
      </c>
      <c r="B47" s="42" t="s">
        <v>64</v>
      </c>
      <c r="C47" s="52">
        <f>D47*4*12413.7</f>
        <v>60578.856</v>
      </c>
      <c r="D47" s="40">
        <v>1.22</v>
      </c>
      <c r="E47" s="52">
        <f>F47*4*12413.7</f>
        <v>60578.856</v>
      </c>
      <c r="F47" s="40">
        <v>1.22</v>
      </c>
      <c r="G47" s="55">
        <f>C47-E47</f>
        <v>0</v>
      </c>
      <c r="H47" s="40">
        <f>D47-F47</f>
        <v>0</v>
      </c>
      <c r="I47" s="362"/>
    </row>
    <row r="48" spans="1:9" x14ac:dyDescent="0.25">
      <c r="A48" s="36" t="s">
        <v>66</v>
      </c>
      <c r="B48" s="28" t="s">
        <v>67</v>
      </c>
      <c r="C48" s="50"/>
      <c r="D48" s="37" t="s">
        <v>3</v>
      </c>
      <c r="E48" s="50"/>
      <c r="F48" s="37" t="s">
        <v>3</v>
      </c>
      <c r="G48" s="56"/>
      <c r="H48" s="37" t="s">
        <v>3</v>
      </c>
      <c r="I48" s="360"/>
    </row>
    <row r="49" spans="1:9" x14ac:dyDescent="0.25">
      <c r="A49" s="36" t="s">
        <v>38</v>
      </c>
      <c r="B49" s="28" t="s">
        <v>68</v>
      </c>
      <c r="C49" s="50"/>
      <c r="D49" s="37"/>
      <c r="E49" s="50"/>
      <c r="F49" s="37"/>
      <c r="G49" s="56"/>
      <c r="H49" s="37"/>
      <c r="I49" s="360"/>
    </row>
    <row r="50" spans="1:9" x14ac:dyDescent="0.25">
      <c r="A50" s="36"/>
      <c r="B50" s="28"/>
      <c r="C50" s="50"/>
      <c r="D50" s="37"/>
      <c r="E50" s="50"/>
      <c r="F50" s="37"/>
      <c r="G50" s="56"/>
      <c r="H50" s="37"/>
      <c r="I50" s="360"/>
    </row>
    <row r="51" spans="1:9" x14ac:dyDescent="0.25">
      <c r="A51" s="38" t="s">
        <v>69</v>
      </c>
      <c r="B51" s="42" t="s">
        <v>70</v>
      </c>
      <c r="C51" s="52">
        <f>D51*4*12413.7</f>
        <v>16386.084000000003</v>
      </c>
      <c r="D51" s="40">
        <v>0.33</v>
      </c>
      <c r="E51" s="52">
        <f>F51*4*12413.7</f>
        <v>16386.084000000003</v>
      </c>
      <c r="F51" s="40">
        <v>0.33</v>
      </c>
      <c r="G51" s="55">
        <f>C51-E51</f>
        <v>0</v>
      </c>
      <c r="H51" s="40">
        <f>D51-F51</f>
        <v>0</v>
      </c>
      <c r="I51" s="362"/>
    </row>
    <row r="52" spans="1:9" x14ac:dyDescent="0.25">
      <c r="A52" s="36" t="s">
        <v>71</v>
      </c>
      <c r="B52" s="28"/>
      <c r="C52" s="50"/>
      <c r="D52" s="37"/>
      <c r="E52" s="50"/>
      <c r="F52" s="37"/>
      <c r="G52" s="56"/>
      <c r="H52" s="37"/>
      <c r="I52" s="360"/>
    </row>
    <row r="53" spans="1:9" x14ac:dyDescent="0.25">
      <c r="A53" s="43" t="s">
        <v>72</v>
      </c>
      <c r="B53" s="44"/>
      <c r="C53" s="71"/>
      <c r="D53" s="85"/>
      <c r="E53" s="71"/>
      <c r="F53" s="85"/>
      <c r="G53" s="94"/>
      <c r="H53" s="85"/>
      <c r="I53" s="362"/>
    </row>
    <row r="54" spans="1:9" x14ac:dyDescent="0.25">
      <c r="A54" s="79" t="s">
        <v>164</v>
      </c>
      <c r="B54" s="28" t="s">
        <v>90</v>
      </c>
      <c r="C54" s="52">
        <f>D54*4*12413.7</f>
        <v>176274.54</v>
      </c>
      <c r="D54" s="37">
        <v>3.55</v>
      </c>
      <c r="E54" s="52">
        <f>F54*4*12413.7</f>
        <v>211529.448</v>
      </c>
      <c r="F54" s="37">
        <v>4.26</v>
      </c>
      <c r="G54" s="55">
        <f>C54-E54</f>
        <v>-35254.907999999996</v>
      </c>
      <c r="H54" s="40">
        <f>D54-F54</f>
        <v>-0.71</v>
      </c>
      <c r="I54" s="360" t="s">
        <v>153</v>
      </c>
    </row>
    <row r="55" spans="1:9" x14ac:dyDescent="0.25">
      <c r="A55" s="79" t="s">
        <v>161</v>
      </c>
      <c r="B55" s="28" t="s">
        <v>91</v>
      </c>
      <c r="C55" s="50"/>
      <c r="D55" s="37"/>
      <c r="E55" s="50"/>
      <c r="F55" s="37"/>
      <c r="G55" s="56"/>
      <c r="H55" s="37"/>
      <c r="I55" s="362"/>
    </row>
    <row r="56" spans="1:9" x14ac:dyDescent="0.25">
      <c r="A56" s="79" t="s">
        <v>162</v>
      </c>
      <c r="B56" s="28" t="s">
        <v>101</v>
      </c>
      <c r="C56" s="89"/>
      <c r="D56" s="45"/>
      <c r="E56" s="89"/>
      <c r="F56" s="45"/>
      <c r="G56" s="90"/>
      <c r="H56" s="45"/>
      <c r="I56" s="360"/>
    </row>
    <row r="57" spans="1:9" x14ac:dyDescent="0.25">
      <c r="A57" s="79" t="s">
        <v>163</v>
      </c>
      <c r="B57" s="28" t="s">
        <v>102</v>
      </c>
      <c r="C57" s="89"/>
      <c r="D57" s="45"/>
      <c r="E57" s="89"/>
      <c r="F57" s="45"/>
      <c r="G57" s="90"/>
      <c r="H57" s="45"/>
      <c r="I57" s="360"/>
    </row>
    <row r="58" spans="1:9" x14ac:dyDescent="0.25">
      <c r="A58" s="23" t="s">
        <v>40</v>
      </c>
      <c r="B58" s="28" t="s">
        <v>92</v>
      </c>
      <c r="C58" s="89"/>
      <c r="D58" s="45"/>
      <c r="E58" s="89"/>
      <c r="F58" s="45"/>
      <c r="G58" s="90"/>
      <c r="H58" s="45"/>
      <c r="I58" s="360"/>
    </row>
    <row r="59" spans="1:9" x14ac:dyDescent="0.25">
      <c r="A59" s="23" t="s">
        <v>42</v>
      </c>
      <c r="B59" s="28" t="s">
        <v>93</v>
      </c>
      <c r="C59" s="89"/>
      <c r="D59" s="45"/>
      <c r="E59" s="89"/>
      <c r="F59" s="45"/>
      <c r="G59" s="90"/>
      <c r="H59" s="45"/>
      <c r="I59" s="360"/>
    </row>
    <row r="60" spans="1:9" x14ac:dyDescent="0.25">
      <c r="A60" s="23" t="s">
        <v>44</v>
      </c>
      <c r="B60" s="28" t="s">
        <v>94</v>
      </c>
      <c r="C60" s="89"/>
      <c r="D60" s="45"/>
      <c r="E60" s="89"/>
      <c r="F60" s="45"/>
      <c r="G60" s="90"/>
      <c r="H60" s="45"/>
      <c r="I60" s="362"/>
    </row>
    <row r="61" spans="1:9" x14ac:dyDescent="0.25">
      <c r="A61" s="23" t="s">
        <v>45</v>
      </c>
      <c r="B61" s="28" t="s">
        <v>95</v>
      </c>
      <c r="C61" s="89"/>
      <c r="D61" s="45"/>
      <c r="E61" s="89"/>
      <c r="F61" s="45"/>
      <c r="G61" s="90"/>
      <c r="H61" s="45"/>
      <c r="I61" s="362"/>
    </row>
    <row r="62" spans="1:9" x14ac:dyDescent="0.25">
      <c r="A62" s="23" t="s">
        <v>47</v>
      </c>
      <c r="B62" s="28" t="s">
        <v>96</v>
      </c>
      <c r="C62" s="89"/>
      <c r="D62" s="45"/>
      <c r="E62" s="89"/>
      <c r="F62" s="45"/>
      <c r="G62" s="90"/>
      <c r="H62" s="45"/>
      <c r="I62" s="362"/>
    </row>
    <row r="63" spans="1:9" x14ac:dyDescent="0.25">
      <c r="A63" s="23"/>
      <c r="B63" s="28" t="s">
        <v>97</v>
      </c>
      <c r="C63" s="89"/>
      <c r="D63" s="45"/>
      <c r="E63" s="89"/>
      <c r="F63" s="45"/>
      <c r="G63" s="90"/>
      <c r="H63" s="45"/>
      <c r="I63" s="362"/>
    </row>
    <row r="64" spans="1:9" x14ac:dyDescent="0.25">
      <c r="A64" s="23"/>
      <c r="B64" s="28" t="s">
        <v>98</v>
      </c>
      <c r="C64" s="89"/>
      <c r="D64" s="45"/>
      <c r="E64" s="89"/>
      <c r="F64" s="45"/>
      <c r="G64" s="90"/>
      <c r="H64" s="45"/>
      <c r="I64" s="362"/>
    </row>
    <row r="65" spans="1:9" x14ac:dyDescent="0.25">
      <c r="A65" s="38" t="s">
        <v>168</v>
      </c>
      <c r="B65" s="42" t="s">
        <v>73</v>
      </c>
      <c r="C65" s="52">
        <f>D65*4*12413.7</f>
        <v>235860.30000000002</v>
      </c>
      <c r="D65" s="40">
        <v>4.75</v>
      </c>
      <c r="E65" s="52">
        <f>F65*4*12413.7</f>
        <v>283032.36000000004</v>
      </c>
      <c r="F65" s="40">
        <v>5.7</v>
      </c>
      <c r="G65" s="55">
        <f>C65-E65</f>
        <v>-47172.060000000027</v>
      </c>
      <c r="H65" s="40">
        <f>D65-F65</f>
        <v>-0.95000000000000018</v>
      </c>
      <c r="I65" s="362" t="s">
        <v>153</v>
      </c>
    </row>
    <row r="66" spans="1:9" x14ac:dyDescent="0.25">
      <c r="A66" s="36" t="s">
        <v>165</v>
      </c>
      <c r="B66" s="28" t="s">
        <v>74</v>
      </c>
      <c r="C66" s="50"/>
      <c r="D66" s="37"/>
      <c r="E66" s="50"/>
      <c r="F66" s="37"/>
      <c r="G66" s="56"/>
      <c r="H66" s="37"/>
      <c r="I66" s="362"/>
    </row>
    <row r="67" spans="1:9" x14ac:dyDescent="0.25">
      <c r="A67" s="36" t="s">
        <v>166</v>
      </c>
      <c r="B67" s="28" t="s">
        <v>75</v>
      </c>
      <c r="C67" s="50"/>
      <c r="D67" s="37"/>
      <c r="E67" s="50"/>
      <c r="F67" s="37"/>
      <c r="G67" s="56"/>
      <c r="H67" s="37"/>
      <c r="I67" s="362"/>
    </row>
    <row r="68" spans="1:9" x14ac:dyDescent="0.25">
      <c r="A68" s="36" t="s">
        <v>167</v>
      </c>
      <c r="B68" s="28"/>
      <c r="C68" s="89"/>
      <c r="D68" s="45"/>
      <c r="E68" s="89"/>
      <c r="F68" s="45"/>
      <c r="G68" s="90"/>
      <c r="H68" s="45"/>
      <c r="I68" s="362"/>
    </row>
    <row r="69" spans="1:9" x14ac:dyDescent="0.25">
      <c r="A69" s="46" t="s">
        <v>77</v>
      </c>
      <c r="B69" s="42" t="s">
        <v>111</v>
      </c>
      <c r="C69" s="95"/>
      <c r="D69" s="47"/>
      <c r="E69" s="95"/>
      <c r="F69" s="47"/>
      <c r="G69" s="100"/>
      <c r="H69" s="47"/>
      <c r="I69" s="362"/>
    </row>
    <row r="70" spans="1:9" x14ac:dyDescent="0.25">
      <c r="A70" s="57" t="s">
        <v>76</v>
      </c>
      <c r="B70" s="28" t="s">
        <v>112</v>
      </c>
      <c r="C70" s="89"/>
      <c r="D70" s="45"/>
      <c r="E70" s="89"/>
      <c r="F70" s="45"/>
      <c r="G70" s="90"/>
      <c r="H70" s="45"/>
      <c r="I70" s="360"/>
    </row>
    <row r="71" spans="1:9" x14ac:dyDescent="0.25">
      <c r="A71" s="62" t="s">
        <v>113</v>
      </c>
      <c r="B71" s="28" t="s">
        <v>114</v>
      </c>
      <c r="C71" s="89"/>
      <c r="D71" s="45"/>
      <c r="E71" s="89"/>
      <c r="F71" s="45"/>
      <c r="G71" s="90"/>
      <c r="H71" s="45"/>
      <c r="I71" s="360"/>
    </row>
    <row r="72" spans="1:9" x14ac:dyDescent="0.25">
      <c r="A72" s="23"/>
      <c r="B72" s="28" t="s">
        <v>115</v>
      </c>
      <c r="C72" s="89"/>
      <c r="D72" s="45"/>
      <c r="E72" s="89"/>
      <c r="F72" s="45"/>
      <c r="G72" s="90"/>
      <c r="H72" s="45"/>
      <c r="I72" s="360"/>
    </row>
    <row r="73" spans="1:9" x14ac:dyDescent="0.25">
      <c r="A73" s="23"/>
      <c r="B73" s="28" t="s">
        <v>116</v>
      </c>
      <c r="C73" s="89"/>
      <c r="D73" s="45"/>
      <c r="E73" s="89"/>
      <c r="F73" s="45"/>
      <c r="G73" s="90"/>
      <c r="H73" s="45"/>
      <c r="I73" s="360"/>
    </row>
    <row r="74" spans="1:9" x14ac:dyDescent="0.25">
      <c r="A74" s="23"/>
      <c r="B74" s="28" t="s">
        <v>117</v>
      </c>
      <c r="C74" s="89"/>
      <c r="D74" s="45"/>
      <c r="E74" s="89"/>
      <c r="F74" s="45"/>
      <c r="G74" s="90"/>
      <c r="H74" s="45"/>
      <c r="I74" s="362"/>
    </row>
    <row r="75" spans="1:9" x14ac:dyDescent="0.25">
      <c r="A75" s="23"/>
      <c r="B75" s="28" t="s">
        <v>118</v>
      </c>
      <c r="C75" s="89"/>
      <c r="D75" s="45"/>
      <c r="E75" s="89"/>
      <c r="F75" s="45"/>
      <c r="G75" s="90"/>
      <c r="H75" s="45"/>
      <c r="I75" s="360"/>
    </row>
    <row r="76" spans="1:9" x14ac:dyDescent="0.25">
      <c r="A76" s="23"/>
      <c r="B76" s="28" t="s">
        <v>119</v>
      </c>
      <c r="C76" s="89"/>
      <c r="D76" s="45"/>
      <c r="E76" s="89"/>
      <c r="F76" s="45"/>
      <c r="G76" s="90"/>
      <c r="H76" s="45"/>
      <c r="I76" s="360"/>
    </row>
    <row r="77" spans="1:9" x14ac:dyDescent="0.25">
      <c r="A77" s="23"/>
      <c r="B77" s="28" t="s">
        <v>120</v>
      </c>
      <c r="C77" s="89"/>
      <c r="D77" s="45"/>
      <c r="E77" s="89"/>
      <c r="F77" s="45"/>
      <c r="G77" s="90"/>
      <c r="H77" s="45"/>
      <c r="I77" s="360"/>
    </row>
    <row r="78" spans="1:9" x14ac:dyDescent="0.25">
      <c r="A78" s="23"/>
      <c r="B78" s="28" t="s">
        <v>121</v>
      </c>
      <c r="C78" s="89"/>
      <c r="D78" s="45"/>
      <c r="E78" s="89"/>
      <c r="F78" s="45"/>
      <c r="G78" s="90"/>
      <c r="H78" s="45"/>
      <c r="I78" s="360"/>
    </row>
    <row r="79" spans="1:9" x14ac:dyDescent="0.25">
      <c r="A79" s="23"/>
      <c r="B79" s="28" t="s">
        <v>122</v>
      </c>
      <c r="C79" s="89"/>
      <c r="D79" s="45"/>
      <c r="E79" s="89"/>
      <c r="F79" s="45"/>
      <c r="G79" s="90"/>
      <c r="H79" s="45"/>
      <c r="I79" s="360"/>
    </row>
    <row r="80" spans="1:9" x14ac:dyDescent="0.25">
      <c r="A80" s="23"/>
      <c r="B80" s="28" t="s">
        <v>123</v>
      </c>
      <c r="C80" s="89"/>
      <c r="D80" s="45"/>
      <c r="E80" s="89"/>
      <c r="F80" s="45"/>
      <c r="G80" s="90"/>
      <c r="H80" s="45"/>
      <c r="I80" s="360"/>
    </row>
    <row r="81" spans="1:9" x14ac:dyDescent="0.25">
      <c r="A81" s="23"/>
      <c r="B81" s="28" t="s">
        <v>124</v>
      </c>
      <c r="C81" s="89"/>
      <c r="D81" s="45"/>
      <c r="E81" s="89"/>
      <c r="F81" s="45"/>
      <c r="G81" s="90"/>
      <c r="H81" s="45"/>
      <c r="I81" s="360"/>
    </row>
    <row r="82" spans="1:9" x14ac:dyDescent="0.25">
      <c r="A82" s="26"/>
      <c r="B82" s="44"/>
      <c r="C82" s="91"/>
      <c r="D82" s="92"/>
      <c r="E82" s="91"/>
      <c r="F82" s="92"/>
      <c r="G82" s="93"/>
      <c r="H82" s="92"/>
      <c r="I82" s="360"/>
    </row>
    <row r="83" spans="1:9" x14ac:dyDescent="0.25">
      <c r="A83" s="48" t="s">
        <v>78</v>
      </c>
      <c r="B83" s="42" t="s">
        <v>79</v>
      </c>
      <c r="C83" s="95"/>
      <c r="D83" s="47"/>
      <c r="E83" s="95"/>
      <c r="F83" s="47"/>
      <c r="G83" s="100"/>
      <c r="H83" s="47"/>
      <c r="I83" s="360"/>
    </row>
    <row r="84" spans="1:9" x14ac:dyDescent="0.25">
      <c r="A84" s="23" t="s">
        <v>76</v>
      </c>
      <c r="B84" s="28" t="s">
        <v>125</v>
      </c>
      <c r="C84" s="89"/>
      <c r="D84" s="45"/>
      <c r="E84" s="89"/>
      <c r="F84" s="45"/>
      <c r="G84" s="90"/>
      <c r="H84" s="45"/>
      <c r="I84" s="360"/>
    </row>
    <row r="85" spans="1:9" x14ac:dyDescent="0.25">
      <c r="A85" s="23" t="s">
        <v>126</v>
      </c>
      <c r="B85" s="28" t="s">
        <v>127</v>
      </c>
      <c r="C85" s="89"/>
      <c r="D85" s="45"/>
      <c r="E85" s="89"/>
      <c r="F85" s="45"/>
      <c r="G85" s="90"/>
      <c r="H85" s="45"/>
      <c r="I85" s="360"/>
    </row>
    <row r="86" spans="1:9" x14ac:dyDescent="0.25">
      <c r="A86" s="23"/>
      <c r="B86" s="28" t="s">
        <v>128</v>
      </c>
      <c r="C86" s="89"/>
      <c r="D86" s="45"/>
      <c r="E86" s="89"/>
      <c r="F86" s="45"/>
      <c r="G86" s="90"/>
      <c r="H86" s="45"/>
      <c r="I86" s="360"/>
    </row>
    <row r="87" spans="1:9" x14ac:dyDescent="0.25">
      <c r="A87" s="23"/>
      <c r="B87" s="28" t="s">
        <v>129</v>
      </c>
      <c r="C87" s="89"/>
      <c r="D87" s="45"/>
      <c r="E87" s="89"/>
      <c r="F87" s="45"/>
      <c r="G87" s="90"/>
      <c r="H87" s="45"/>
      <c r="I87" s="360"/>
    </row>
    <row r="88" spans="1:9" x14ac:dyDescent="0.25">
      <c r="A88" s="23"/>
      <c r="B88" s="28" t="s">
        <v>130</v>
      </c>
      <c r="C88" s="89"/>
      <c r="D88" s="45"/>
      <c r="E88" s="89"/>
      <c r="F88" s="45"/>
      <c r="G88" s="90"/>
      <c r="H88" s="45"/>
      <c r="I88" s="360"/>
    </row>
    <row r="89" spans="1:9" x14ac:dyDescent="0.25">
      <c r="A89" s="23"/>
      <c r="B89" s="28" t="s">
        <v>131</v>
      </c>
      <c r="C89" s="89"/>
      <c r="D89" s="45"/>
      <c r="E89" s="89"/>
      <c r="F89" s="45"/>
      <c r="G89" s="90"/>
      <c r="H89" s="45"/>
      <c r="I89" s="362"/>
    </row>
    <row r="90" spans="1:9" x14ac:dyDescent="0.25">
      <c r="A90" s="23"/>
      <c r="B90" s="28" t="s">
        <v>132</v>
      </c>
      <c r="C90" s="89"/>
      <c r="D90" s="45"/>
      <c r="E90" s="89"/>
      <c r="F90" s="45"/>
      <c r="G90" s="90"/>
      <c r="H90" s="45"/>
      <c r="I90" s="360"/>
    </row>
    <row r="91" spans="1:9" x14ac:dyDescent="0.25">
      <c r="A91" s="26"/>
      <c r="B91" s="44"/>
      <c r="C91" s="91"/>
      <c r="D91" s="92"/>
      <c r="E91" s="91"/>
      <c r="F91" s="92"/>
      <c r="G91" s="93"/>
      <c r="H91" s="92"/>
      <c r="I91" s="360"/>
    </row>
    <row r="92" spans="1:9" x14ac:dyDescent="0.25">
      <c r="A92" s="38" t="s">
        <v>145</v>
      </c>
      <c r="B92" s="42" t="s">
        <v>83</v>
      </c>
      <c r="C92" s="52">
        <f>D92*4*12413.7</f>
        <v>111723.3</v>
      </c>
      <c r="D92" s="49">
        <v>2.25</v>
      </c>
      <c r="E92" s="52">
        <v>98523.3</v>
      </c>
      <c r="F92" s="37">
        <f>E92/4/B15</f>
        <v>1.9841646729017133</v>
      </c>
      <c r="G92" s="55">
        <f>C92-E92</f>
        <v>13200</v>
      </c>
      <c r="H92" s="40">
        <f>D92-F92</f>
        <v>0.26583532709828672</v>
      </c>
      <c r="I92" s="362" t="s">
        <v>139</v>
      </c>
    </row>
    <row r="93" spans="1:9" x14ac:dyDescent="0.25">
      <c r="A93" s="36"/>
      <c r="B93" s="28"/>
      <c r="C93" s="89"/>
      <c r="D93" s="45"/>
      <c r="E93" s="89"/>
      <c r="F93" s="45"/>
      <c r="G93" s="90"/>
      <c r="H93" s="45"/>
      <c r="I93" s="360"/>
    </row>
    <row r="94" spans="1:9" x14ac:dyDescent="0.25">
      <c r="A94" s="38" t="s">
        <v>148</v>
      </c>
      <c r="B94" s="42" t="s">
        <v>133</v>
      </c>
      <c r="C94" s="52">
        <f>D94*4*12413.7</f>
        <v>1986.1920000000002</v>
      </c>
      <c r="D94" s="49">
        <v>0.04</v>
      </c>
      <c r="E94" s="52">
        <v>7612.95</v>
      </c>
      <c r="F94" s="49">
        <f>E94/4/B15</f>
        <v>0.153317504047947</v>
      </c>
      <c r="G94" s="55">
        <f>C94-E94</f>
        <v>-5626.7579999999998</v>
      </c>
      <c r="H94" s="40">
        <f>D94-F94</f>
        <v>-0.11331750404794699</v>
      </c>
      <c r="I94" s="360" t="s">
        <v>153</v>
      </c>
    </row>
    <row r="95" spans="1:9" x14ac:dyDescent="0.25">
      <c r="A95" s="43" t="s">
        <v>134</v>
      </c>
      <c r="B95" s="44" t="s">
        <v>135</v>
      </c>
      <c r="C95" s="71"/>
      <c r="D95" s="96"/>
      <c r="E95" s="71"/>
      <c r="F95" s="85"/>
      <c r="G95" s="93"/>
      <c r="H95" s="92"/>
      <c r="I95" s="362"/>
    </row>
    <row r="96" spans="1:9" x14ac:dyDescent="0.25">
      <c r="A96" s="36" t="s">
        <v>170</v>
      </c>
      <c r="B96" s="42" t="s">
        <v>70</v>
      </c>
      <c r="C96" s="50">
        <f>D96*4*12413.7</f>
        <v>0</v>
      </c>
      <c r="D96" s="97">
        <v>0</v>
      </c>
      <c r="E96" s="50">
        <f>F96*4*B15</f>
        <v>0</v>
      </c>
      <c r="F96" s="37">
        <v>0</v>
      </c>
      <c r="G96" s="56">
        <f>C96-E96</f>
        <v>0</v>
      </c>
      <c r="H96" s="37">
        <f>D96-F96</f>
        <v>0</v>
      </c>
      <c r="I96" s="360"/>
    </row>
    <row r="97" spans="1:11" x14ac:dyDescent="0.25">
      <c r="A97" s="36" t="s">
        <v>169</v>
      </c>
      <c r="B97" s="28"/>
      <c r="C97" s="50"/>
      <c r="D97" s="97"/>
      <c r="E97" s="50"/>
      <c r="F97" s="37"/>
      <c r="G97" s="90"/>
      <c r="H97" s="45"/>
      <c r="I97" s="360"/>
    </row>
    <row r="98" spans="1:11" x14ac:dyDescent="0.25">
      <c r="A98" s="38" t="s">
        <v>146</v>
      </c>
      <c r="B98" s="42" t="s">
        <v>70</v>
      </c>
      <c r="C98" s="52">
        <f>D98*4*12413.7</f>
        <v>10427.508</v>
      </c>
      <c r="D98" s="63">
        <v>0.21</v>
      </c>
      <c r="E98" s="52">
        <v>5802.4</v>
      </c>
      <c r="F98" s="40">
        <f>E98/4/B15</f>
        <v>0.11685476529962863</v>
      </c>
      <c r="G98" s="55">
        <f>C98-E98</f>
        <v>4625.1080000000002</v>
      </c>
      <c r="H98" s="40">
        <f>D98-F98</f>
        <v>9.3145234700371365E-2</v>
      </c>
      <c r="I98" s="362" t="s">
        <v>139</v>
      </c>
    </row>
    <row r="99" spans="1:11" x14ac:dyDescent="0.25">
      <c r="A99" s="43" t="s">
        <v>136</v>
      </c>
      <c r="B99" s="44"/>
      <c r="C99" s="71"/>
      <c r="D99" s="96"/>
      <c r="E99" s="71"/>
      <c r="F99" s="85"/>
      <c r="G99" s="93"/>
      <c r="H99" s="92"/>
      <c r="I99" s="363"/>
    </row>
    <row r="100" spans="1:11" x14ac:dyDescent="0.25">
      <c r="A100" s="36" t="s">
        <v>147</v>
      </c>
      <c r="B100" s="42" t="s">
        <v>70</v>
      </c>
      <c r="C100" s="52">
        <f>D100*4*12413.7</f>
        <v>11420.604000000001</v>
      </c>
      <c r="D100" s="98">
        <v>0.23</v>
      </c>
      <c r="E100" s="50">
        <f>F100*4*B15</f>
        <v>11420.604000000001</v>
      </c>
      <c r="F100" s="37">
        <v>0.23</v>
      </c>
      <c r="G100" s="55">
        <f>C100-E100</f>
        <v>0</v>
      </c>
      <c r="H100" s="40">
        <f>D100-F100</f>
        <v>0</v>
      </c>
      <c r="I100" s="360"/>
    </row>
    <row r="101" spans="1:11" x14ac:dyDescent="0.25">
      <c r="A101" s="36" t="s">
        <v>137</v>
      </c>
      <c r="B101" s="28"/>
      <c r="C101" s="50"/>
      <c r="D101" s="98"/>
      <c r="E101" s="50"/>
      <c r="F101" s="37"/>
      <c r="G101" s="93"/>
      <c r="H101" s="92"/>
      <c r="I101" s="362"/>
    </row>
    <row r="102" spans="1:11" x14ac:dyDescent="0.25">
      <c r="A102" s="51" t="s">
        <v>80</v>
      </c>
      <c r="B102" s="42"/>
      <c r="C102" s="52">
        <f>C22+C32+C47+C51+C54+C65+C92+C94+C98+C100+C96</f>
        <v>1081481.5440000002</v>
      </c>
      <c r="D102" s="55">
        <f>D22+D32+D47+D51+D54+D65+D92+D94+D98+D100+D96</f>
        <v>21.78</v>
      </c>
      <c r="E102" s="58">
        <f>E22+E32+E47+E51+E54+E65+E92+E94+E98+E100+E96</f>
        <v>1151710.162</v>
      </c>
      <c r="F102" s="49">
        <f>F22+F32+F47+F51+F54+F65+F92+F94+F98+F100+F96</f>
        <v>23.19433694224929</v>
      </c>
      <c r="G102" s="55">
        <f>C102-E102</f>
        <v>-70228.617999999784</v>
      </c>
      <c r="H102" s="40">
        <f>D102-F102</f>
        <v>-1.4143369422492889</v>
      </c>
      <c r="I102" s="362"/>
    </row>
    <row r="103" spans="1:11" x14ac:dyDescent="0.25">
      <c r="A103" s="53" t="s">
        <v>81</v>
      </c>
      <c r="B103" s="44"/>
      <c r="C103" s="71"/>
      <c r="D103" s="85"/>
      <c r="E103" s="71"/>
      <c r="F103" s="37"/>
      <c r="G103" s="56"/>
      <c r="H103" s="37"/>
      <c r="I103" s="360"/>
    </row>
    <row r="104" spans="1:11" x14ac:dyDescent="0.25">
      <c r="A104" s="51" t="s">
        <v>171</v>
      </c>
      <c r="B104" s="42"/>
      <c r="C104" s="52">
        <f>D104*4*12413.7</f>
        <v>107750.916</v>
      </c>
      <c r="D104" s="49">
        <v>2.17</v>
      </c>
      <c r="E104" s="52">
        <f>F104*4*12413.7</f>
        <v>107750.916</v>
      </c>
      <c r="F104" s="49">
        <v>2.17</v>
      </c>
      <c r="G104" s="55">
        <f>C104-E104</f>
        <v>0</v>
      </c>
      <c r="H104" s="40">
        <f>D104-F104</f>
        <v>0</v>
      </c>
      <c r="I104" s="360"/>
    </row>
    <row r="105" spans="1:11" x14ac:dyDescent="0.25">
      <c r="A105" s="53" t="s">
        <v>138</v>
      </c>
      <c r="B105" s="44"/>
      <c r="C105" s="83"/>
      <c r="D105" s="84"/>
      <c r="E105" s="71"/>
      <c r="F105" s="85"/>
      <c r="G105" s="93"/>
      <c r="H105" s="92"/>
      <c r="I105" s="360"/>
    </row>
    <row r="106" spans="1:11" x14ac:dyDescent="0.25">
      <c r="A106" s="38" t="s">
        <v>84</v>
      </c>
      <c r="B106" s="42"/>
      <c r="C106" s="58">
        <f>C102+C104</f>
        <v>1189232.4600000002</v>
      </c>
      <c r="D106" s="49">
        <f>D102+D104</f>
        <v>23.950000000000003</v>
      </c>
      <c r="E106" s="58">
        <f>E102+E104</f>
        <v>1259461.078</v>
      </c>
      <c r="F106" s="49">
        <f>F102+F104</f>
        <v>25.364336942249288</v>
      </c>
      <c r="G106" s="55">
        <f>C106-E106</f>
        <v>-70228.617999999784</v>
      </c>
      <c r="H106" s="40">
        <f>D106-F106</f>
        <v>-1.4143369422492853</v>
      </c>
      <c r="I106" s="360"/>
    </row>
    <row r="107" spans="1:11" x14ac:dyDescent="0.25">
      <c r="A107" s="43" t="s">
        <v>85</v>
      </c>
      <c r="B107" s="44"/>
      <c r="C107" s="83"/>
      <c r="D107" s="84"/>
      <c r="E107" s="83"/>
      <c r="F107" s="84"/>
      <c r="G107" s="93"/>
      <c r="H107" s="92"/>
      <c r="I107" s="360"/>
    </row>
    <row r="108" spans="1:11" x14ac:dyDescent="0.25">
      <c r="A108" s="38" t="s">
        <v>172</v>
      </c>
      <c r="B108" s="65" t="s">
        <v>87</v>
      </c>
      <c r="C108" s="52">
        <f>D108*4*B15</f>
        <v>73985.652000000002</v>
      </c>
      <c r="D108" s="49">
        <v>1.49</v>
      </c>
      <c r="E108" s="52">
        <v>264403.03000000003</v>
      </c>
      <c r="F108" s="40">
        <f>E108/4/B15</f>
        <v>5.3248231792293996</v>
      </c>
      <c r="G108" s="55">
        <f>C108-E108</f>
        <v>-190417.37800000003</v>
      </c>
      <c r="H108" s="40">
        <f>D108-F108</f>
        <v>-3.8348231792293994</v>
      </c>
      <c r="I108" s="360" t="s">
        <v>153</v>
      </c>
    </row>
    <row r="109" spans="1:11" x14ac:dyDescent="0.25">
      <c r="A109" s="36" t="s">
        <v>173</v>
      </c>
      <c r="B109" s="80"/>
      <c r="C109" s="81"/>
      <c r="D109" s="54"/>
      <c r="E109" s="50"/>
      <c r="F109" s="37"/>
      <c r="G109" s="56"/>
      <c r="H109" s="37"/>
      <c r="I109" s="362"/>
      <c r="J109" s="367"/>
      <c r="K109" s="367"/>
    </row>
    <row r="110" spans="1:11" x14ac:dyDescent="0.25">
      <c r="A110" s="43" t="s">
        <v>174</v>
      </c>
      <c r="B110" s="82"/>
      <c r="C110" s="81"/>
      <c r="D110" s="54"/>
      <c r="E110" s="50"/>
      <c r="F110" s="37"/>
      <c r="G110" s="56"/>
      <c r="H110" s="37"/>
      <c r="I110" s="360"/>
      <c r="J110" s="367"/>
      <c r="K110" s="367"/>
    </row>
    <row r="111" spans="1:11" x14ac:dyDescent="0.25">
      <c r="A111" s="38" t="s">
        <v>252</v>
      </c>
      <c r="B111" s="65" t="s">
        <v>176</v>
      </c>
      <c r="C111" s="52">
        <f>D111*4*B15</f>
        <v>287501.29200000002</v>
      </c>
      <c r="D111" s="49">
        <v>5.79</v>
      </c>
      <c r="E111" s="52">
        <v>299244.65000000002</v>
      </c>
      <c r="F111" s="40">
        <f>E111/4/B15</f>
        <v>6.0264999556941126</v>
      </c>
      <c r="G111" s="55">
        <f>C111-E111</f>
        <v>-11743.358000000007</v>
      </c>
      <c r="H111" s="40">
        <f>D111-F111</f>
        <v>-0.23649995569411253</v>
      </c>
      <c r="I111" s="361">
        <v>-11817.84</v>
      </c>
      <c r="J111" s="367" t="s">
        <v>153</v>
      </c>
      <c r="K111" s="368">
        <f>I111+I112</f>
        <v>-11743.358</v>
      </c>
    </row>
    <row r="112" spans="1:11" x14ac:dyDescent="0.25">
      <c r="A112" s="36" t="s">
        <v>253</v>
      </c>
      <c r="B112" s="66" t="s">
        <v>178</v>
      </c>
      <c r="C112" s="81"/>
      <c r="D112" s="54"/>
      <c r="E112" s="50"/>
      <c r="F112" s="37"/>
      <c r="G112" s="56"/>
      <c r="H112" s="37"/>
      <c r="I112" s="362">
        <v>74.481999999999999</v>
      </c>
      <c r="J112" s="367" t="s">
        <v>139</v>
      </c>
      <c r="K112" s="367"/>
    </row>
    <row r="113" spans="1:11" x14ac:dyDescent="0.25">
      <c r="A113" s="36" t="s">
        <v>254</v>
      </c>
      <c r="B113" s="82"/>
      <c r="C113" s="83"/>
      <c r="D113" s="84"/>
      <c r="E113" s="71"/>
      <c r="F113" s="85"/>
      <c r="G113" s="94"/>
      <c r="H113" s="85"/>
      <c r="I113" s="362"/>
      <c r="J113" s="367"/>
      <c r="K113" s="367"/>
    </row>
    <row r="114" spans="1:11" hidden="1" x14ac:dyDescent="0.25">
      <c r="A114" s="86" t="s">
        <v>180</v>
      </c>
      <c r="B114" s="65" t="s">
        <v>176</v>
      </c>
      <c r="C114" s="81">
        <f>D114*4*B15</f>
        <v>0</v>
      </c>
      <c r="D114" s="54">
        <v>0</v>
      </c>
      <c r="E114" s="50">
        <f>F114*4*B15</f>
        <v>0</v>
      </c>
      <c r="F114" s="37">
        <v>0</v>
      </c>
      <c r="G114" s="56">
        <f>C114-E114</f>
        <v>0</v>
      </c>
      <c r="H114" s="37">
        <f>D114-F114</f>
        <v>0</v>
      </c>
      <c r="I114" s="360"/>
      <c r="J114" s="367"/>
      <c r="K114" s="367"/>
    </row>
    <row r="115" spans="1:11" hidden="1" x14ac:dyDescent="0.25">
      <c r="A115" s="36" t="s">
        <v>181</v>
      </c>
      <c r="B115" s="66" t="s">
        <v>178</v>
      </c>
      <c r="C115" s="81"/>
      <c r="D115" s="54"/>
      <c r="E115" s="50"/>
      <c r="F115" s="37"/>
      <c r="G115" s="56"/>
      <c r="H115" s="37"/>
      <c r="I115" s="360"/>
      <c r="J115" s="367"/>
      <c r="K115" s="367"/>
    </row>
    <row r="116" spans="1:11" hidden="1" x14ac:dyDescent="0.25">
      <c r="A116" s="38" t="s">
        <v>182</v>
      </c>
      <c r="B116" s="65" t="s">
        <v>176</v>
      </c>
      <c r="C116" s="58">
        <f>D116*4*B15</f>
        <v>0</v>
      </c>
      <c r="D116" s="49">
        <v>0</v>
      </c>
      <c r="E116" s="52">
        <f>F116*4*B15</f>
        <v>0</v>
      </c>
      <c r="F116" s="40">
        <v>0</v>
      </c>
      <c r="G116" s="55">
        <f>C116-E116</f>
        <v>0</v>
      </c>
      <c r="H116" s="40">
        <f>D116-F116</f>
        <v>0</v>
      </c>
      <c r="I116" s="360"/>
      <c r="J116" s="367"/>
      <c r="K116" s="367"/>
    </row>
    <row r="117" spans="1:11" hidden="1" x14ac:dyDescent="0.25">
      <c r="A117" s="43" t="s">
        <v>183</v>
      </c>
      <c r="B117" s="66" t="s">
        <v>178</v>
      </c>
      <c r="C117" s="83"/>
      <c r="D117" s="84"/>
      <c r="E117" s="71"/>
      <c r="F117" s="85"/>
      <c r="G117" s="94"/>
      <c r="H117" s="85"/>
      <c r="I117" s="360"/>
      <c r="J117" s="367"/>
      <c r="K117" s="367"/>
    </row>
    <row r="118" spans="1:11" x14ac:dyDescent="0.25">
      <c r="A118" s="38" t="s">
        <v>255</v>
      </c>
      <c r="B118" s="65" t="s">
        <v>185</v>
      </c>
      <c r="C118" s="52">
        <f>D118*4*B15</f>
        <v>5462.0280000000002</v>
      </c>
      <c r="D118" s="49">
        <v>0.11</v>
      </c>
      <c r="E118" s="52">
        <v>0</v>
      </c>
      <c r="F118" s="40">
        <f>E118/4/B15</f>
        <v>0</v>
      </c>
      <c r="G118" s="55">
        <f>C118-E118</f>
        <v>5462.0280000000002</v>
      </c>
      <c r="H118" s="40">
        <f>D118-F118</f>
        <v>0.11</v>
      </c>
      <c r="I118" s="360" t="s">
        <v>140</v>
      </c>
      <c r="J118" s="367"/>
      <c r="K118" s="367"/>
    </row>
    <row r="119" spans="1:11" x14ac:dyDescent="0.25">
      <c r="A119" s="36" t="s">
        <v>82</v>
      </c>
      <c r="B119" s="80"/>
      <c r="C119" s="81"/>
      <c r="D119" s="54"/>
      <c r="E119" s="50"/>
      <c r="F119" s="37"/>
      <c r="G119" s="56"/>
      <c r="H119" s="37"/>
      <c r="I119" s="362"/>
    </row>
    <row r="120" spans="1:11" x14ac:dyDescent="0.25">
      <c r="A120" s="38" t="s">
        <v>256</v>
      </c>
      <c r="B120" s="65" t="s">
        <v>185</v>
      </c>
      <c r="C120" s="52">
        <f>D120*4*B15</f>
        <v>17379.18</v>
      </c>
      <c r="D120" s="49">
        <v>0.35</v>
      </c>
      <c r="E120" s="52">
        <f>F120*4*B15</f>
        <v>0</v>
      </c>
      <c r="F120" s="40">
        <v>0</v>
      </c>
      <c r="G120" s="55">
        <f>C120-E120</f>
        <v>17379.18</v>
      </c>
      <c r="H120" s="40">
        <f>D120-F120</f>
        <v>0.35</v>
      </c>
      <c r="I120" s="360" t="s">
        <v>140</v>
      </c>
    </row>
    <row r="121" spans="1:11" x14ac:dyDescent="0.25">
      <c r="A121" s="43" t="s">
        <v>189</v>
      </c>
      <c r="B121" s="82"/>
      <c r="C121" s="83"/>
      <c r="D121" s="84"/>
      <c r="E121" s="71"/>
      <c r="F121" s="85"/>
      <c r="G121" s="110"/>
      <c r="H121" s="85"/>
      <c r="I121" s="362"/>
    </row>
    <row r="122" spans="1:11" x14ac:dyDescent="0.25">
      <c r="A122" s="38" t="s">
        <v>187</v>
      </c>
      <c r="B122" s="59"/>
      <c r="C122" s="52">
        <f>C108+C111+C118+C120+C114+C116</f>
        <v>384328.152</v>
      </c>
      <c r="D122" s="40">
        <f>D108+D111+D118+D120+D114+D116</f>
        <v>7.74</v>
      </c>
      <c r="E122" s="52">
        <f>E108+E111+E118+E120+E114+E116</f>
        <v>563647.68000000005</v>
      </c>
      <c r="F122" s="40">
        <f>F108+F111+F118+F120+F114+F116</f>
        <v>11.351323134923511</v>
      </c>
      <c r="G122" s="55">
        <f>C122-E122</f>
        <v>-179319.52800000005</v>
      </c>
      <c r="H122" s="40">
        <f>D122-F122</f>
        <v>-3.6113231349235111</v>
      </c>
      <c r="I122" s="362"/>
    </row>
    <row r="123" spans="1:11" ht="15.75" thickBot="1" x14ac:dyDescent="0.3">
      <c r="A123" s="60" t="s">
        <v>188</v>
      </c>
      <c r="B123" s="61"/>
      <c r="C123" s="87"/>
      <c r="D123" s="88"/>
      <c r="E123" s="87"/>
      <c r="F123" s="88"/>
      <c r="G123" s="101"/>
      <c r="H123" s="88"/>
      <c r="I123" s="364"/>
    </row>
    <row r="124" spans="1:11" x14ac:dyDescent="0.25">
      <c r="A124" s="67" t="s">
        <v>154</v>
      </c>
      <c r="B124" s="68"/>
      <c r="C124" s="111">
        <f>C106+C122</f>
        <v>1573560.6120000002</v>
      </c>
      <c r="D124" s="69">
        <f>D106+D122</f>
        <v>31.690000000000005</v>
      </c>
      <c r="E124" s="132">
        <f>E106+E122</f>
        <v>1823108.7579999999</v>
      </c>
      <c r="F124" s="69">
        <f>F106+F122</f>
        <v>36.715660077172799</v>
      </c>
      <c r="G124" s="136">
        <f>C124-E124</f>
        <v>-249548.14599999972</v>
      </c>
      <c r="H124" s="70">
        <f>D124-F124</f>
        <v>-5.0256600771727946</v>
      </c>
      <c r="I124" s="364"/>
    </row>
    <row r="125" spans="1:11" ht="15.75" thickBot="1" x14ac:dyDescent="0.3">
      <c r="A125" s="116"/>
      <c r="B125" s="117"/>
      <c r="C125" s="116"/>
      <c r="D125" s="118"/>
      <c r="E125" s="116"/>
      <c r="F125" s="118"/>
      <c r="G125" s="119"/>
      <c r="H125" s="118"/>
    </row>
    <row r="126" spans="1:11" x14ac:dyDescent="0.25">
      <c r="A126" s="108"/>
      <c r="B126" s="126"/>
      <c r="C126" s="108"/>
      <c r="D126" s="127"/>
      <c r="E126" s="108"/>
      <c r="F126" s="127"/>
      <c r="G126" s="108"/>
      <c r="H126" s="108"/>
      <c r="I126" s="346"/>
    </row>
    <row r="127" spans="1:11" x14ac:dyDescent="0.25">
      <c r="A127" s="128"/>
      <c r="B127" s="128"/>
      <c r="C127" s="128"/>
      <c r="D127" s="107"/>
      <c r="E127" s="128"/>
      <c r="F127" s="128"/>
      <c r="G127" s="128"/>
      <c r="H127" s="128"/>
      <c r="I127" s="346"/>
    </row>
    <row r="128" spans="1:11" x14ac:dyDescent="0.25">
      <c r="A128" s="5"/>
      <c r="B128" s="5"/>
      <c r="C128" s="5"/>
      <c r="D128" s="32"/>
      <c r="E128" s="5"/>
      <c r="F128" s="5"/>
      <c r="G128" s="5"/>
      <c r="H128" s="5"/>
      <c r="I128" s="346"/>
    </row>
    <row r="129" spans="1:9" ht="15.75" x14ac:dyDescent="0.25">
      <c r="A129" s="337" t="s">
        <v>257</v>
      </c>
      <c r="B129" s="3"/>
      <c r="C129" s="148"/>
      <c r="D129" s="107"/>
      <c r="E129" s="149"/>
      <c r="F129" s="148"/>
      <c r="G129" s="148"/>
      <c r="H129" s="148"/>
      <c r="I129" s="348"/>
    </row>
    <row r="130" spans="1:9" x14ac:dyDescent="0.25">
      <c r="A130" s="5"/>
      <c r="B130" s="5"/>
      <c r="C130" s="150"/>
      <c r="D130" s="151"/>
      <c r="E130" s="152"/>
      <c r="F130" s="128"/>
      <c r="G130" s="147"/>
      <c r="H130" s="128"/>
      <c r="I130" s="353"/>
    </row>
    <row r="131" spans="1:9" x14ac:dyDescent="0.25">
      <c r="B131" s="367"/>
      <c r="C131" s="341"/>
      <c r="D131" s="340"/>
      <c r="E131" s="342"/>
      <c r="F131" s="340"/>
      <c r="G131" s="343"/>
      <c r="H131" s="340"/>
      <c r="I131" s="340"/>
    </row>
    <row r="132" spans="1:9" x14ac:dyDescent="0.25">
      <c r="B132" s="367"/>
      <c r="C132" s="341"/>
      <c r="D132" s="341"/>
      <c r="E132" s="341"/>
      <c r="F132" s="367" t="s">
        <v>140</v>
      </c>
      <c r="G132" s="341">
        <f>G118+G120</f>
        <v>22841.207999999999</v>
      </c>
      <c r="H132" s="340"/>
      <c r="I132" s="366"/>
    </row>
    <row r="133" spans="1:9" x14ac:dyDescent="0.25">
      <c r="B133" s="369">
        <f>C124-G134</f>
        <v>1555661.0220000001</v>
      </c>
      <c r="C133" s="341"/>
      <c r="D133" s="341"/>
      <c r="E133" s="341"/>
      <c r="F133" s="367" t="s">
        <v>153</v>
      </c>
      <c r="G133" s="341">
        <f>G54+G65+G94+G108+I111</f>
        <v>-290288.94400000008</v>
      </c>
      <c r="H133" s="340"/>
      <c r="I133" s="366"/>
    </row>
    <row r="134" spans="1:9" x14ac:dyDescent="0.25">
      <c r="B134" s="367"/>
      <c r="C134" s="341"/>
      <c r="D134" s="340"/>
      <c r="E134" s="341"/>
      <c r="F134" s="367" t="s">
        <v>139</v>
      </c>
      <c r="G134" s="341">
        <f>G92+I112+G98</f>
        <v>17899.59</v>
      </c>
      <c r="H134" s="340"/>
      <c r="I134" s="340"/>
    </row>
    <row r="135" spans="1:9" x14ac:dyDescent="0.25">
      <c r="B135" s="367"/>
      <c r="C135" s="341"/>
      <c r="D135" s="340"/>
      <c r="E135" s="340"/>
      <c r="F135" s="367"/>
      <c r="G135" s="341">
        <f>SUM(G132:G134)</f>
        <v>-249548.1460000001</v>
      </c>
      <c r="H135" s="340"/>
      <c r="I135" s="340"/>
    </row>
    <row r="136" spans="1:9" x14ac:dyDescent="0.25">
      <c r="B136" s="367"/>
      <c r="C136" s="341"/>
      <c r="D136" s="340"/>
      <c r="E136" s="340"/>
      <c r="F136" s="367" t="s">
        <v>140</v>
      </c>
      <c r="G136" s="341">
        <f>G132+G133</f>
        <v>-267447.73600000009</v>
      </c>
      <c r="H136" s="341"/>
      <c r="I136" s="340"/>
    </row>
    <row r="137" spans="1:9" x14ac:dyDescent="0.25">
      <c r="B137" s="367"/>
      <c r="C137" s="341"/>
      <c r="D137" s="340"/>
      <c r="E137" s="340"/>
      <c r="F137" s="367"/>
      <c r="G137" s="341"/>
      <c r="H137" s="340"/>
      <c r="I137" s="340"/>
    </row>
    <row r="138" spans="1:9" x14ac:dyDescent="0.25">
      <c r="B138" s="367"/>
      <c r="C138" s="341"/>
      <c r="D138" s="340"/>
      <c r="E138" s="340"/>
      <c r="F138" s="367" t="s">
        <v>214</v>
      </c>
      <c r="G138" s="341">
        <f>G136</f>
        <v>-267447.73600000009</v>
      </c>
      <c r="H138" s="340"/>
      <c r="I138" s="340"/>
    </row>
    <row r="139" spans="1:9" x14ac:dyDescent="0.25">
      <c r="B139" s="367"/>
      <c r="C139" s="341"/>
      <c r="D139" s="340"/>
      <c r="E139" s="342"/>
      <c r="F139" s="367"/>
      <c r="G139" s="344"/>
      <c r="H139" s="340"/>
      <c r="I139" s="345"/>
    </row>
    <row r="140" spans="1:9" x14ac:dyDescent="0.25">
      <c r="B140" s="367"/>
      <c r="C140" s="340"/>
      <c r="D140" s="340"/>
      <c r="E140" s="340"/>
      <c r="F140" s="367" t="s">
        <v>215</v>
      </c>
      <c r="G140" s="340"/>
      <c r="H140" s="340"/>
      <c r="I140" s="345"/>
    </row>
    <row r="141" spans="1:9" x14ac:dyDescent="0.25">
      <c r="B141" s="367"/>
      <c r="C141" s="341"/>
      <c r="D141" s="340"/>
      <c r="E141" s="341"/>
      <c r="F141" s="340"/>
      <c r="G141" s="341"/>
      <c r="H141" s="340"/>
      <c r="I141" s="345"/>
    </row>
    <row r="142" spans="1:9" x14ac:dyDescent="0.25">
      <c r="C142" s="64"/>
      <c r="E142" s="64"/>
      <c r="F142" s="74"/>
      <c r="G142" s="113"/>
      <c r="H142" s="74"/>
      <c r="I142" s="345"/>
    </row>
    <row r="143" spans="1:9" x14ac:dyDescent="0.25">
      <c r="C143" s="64"/>
      <c r="E143" s="64"/>
      <c r="F143" s="74"/>
      <c r="G143" s="113"/>
      <c r="H143" s="74"/>
      <c r="I143" s="345"/>
    </row>
    <row r="144" spans="1:9" x14ac:dyDescent="0.25">
      <c r="C144" s="64"/>
      <c r="E144" s="64"/>
      <c r="F144" s="74"/>
      <c r="G144" s="113"/>
      <c r="H144" s="74"/>
      <c r="I144" s="345"/>
    </row>
    <row r="145" spans="3:9" x14ac:dyDescent="0.25">
      <c r="C145" s="64"/>
      <c r="E145" s="64"/>
      <c r="F145" s="74"/>
      <c r="G145" s="113"/>
      <c r="H145" s="74"/>
      <c r="I145" s="345"/>
    </row>
    <row r="146" spans="3:9" x14ac:dyDescent="0.25">
      <c r="C146" s="64"/>
      <c r="E146" s="64"/>
      <c r="F146" s="74"/>
      <c r="G146" s="113"/>
      <c r="H146" s="74"/>
      <c r="I146" s="350"/>
    </row>
    <row r="147" spans="3:9" x14ac:dyDescent="0.25">
      <c r="C147" s="64"/>
      <c r="E147" s="64"/>
      <c r="F147" s="74"/>
      <c r="G147" s="113"/>
      <c r="H147" s="74"/>
      <c r="I147" s="345"/>
    </row>
    <row r="148" spans="3:9" x14ac:dyDescent="0.25">
      <c r="F148" s="74"/>
      <c r="G148" s="74"/>
      <c r="H148" s="74"/>
      <c r="I148" s="345"/>
    </row>
    <row r="149" spans="3:9" x14ac:dyDescent="0.25">
      <c r="C149" s="64"/>
      <c r="E149" s="64"/>
      <c r="F149" s="74"/>
      <c r="G149" s="74"/>
      <c r="H149" s="74"/>
      <c r="I149" s="345"/>
    </row>
    <row r="150" spans="3:9" x14ac:dyDescent="0.25">
      <c r="C150" s="64"/>
      <c r="E150" s="64"/>
      <c r="F150" s="74"/>
      <c r="G150" s="113"/>
      <c r="H150" s="74"/>
      <c r="I150" s="345"/>
    </row>
    <row r="151" spans="3:9" x14ac:dyDescent="0.25">
      <c r="F151" s="74"/>
      <c r="G151" s="74"/>
      <c r="H151" s="74"/>
      <c r="I151" s="345"/>
    </row>
    <row r="152" spans="3:9" x14ac:dyDescent="0.25">
      <c r="F152" s="74"/>
      <c r="G152" s="74"/>
      <c r="H152" s="74"/>
      <c r="I152" s="345"/>
    </row>
    <row r="153" spans="3:9" x14ac:dyDescent="0.25">
      <c r="F153" s="74"/>
      <c r="G153" s="74"/>
      <c r="H153" s="74"/>
      <c r="I153" s="345"/>
    </row>
    <row r="154" spans="3:9" x14ac:dyDescent="0.25">
      <c r="F154" s="74"/>
      <c r="G154" s="74"/>
      <c r="H154" s="74"/>
      <c r="I154" s="345"/>
    </row>
    <row r="155" spans="3:9" x14ac:dyDescent="0.25">
      <c r="F155" s="74"/>
      <c r="G155" s="74"/>
      <c r="H155" s="74"/>
      <c r="I155" s="345"/>
    </row>
    <row r="156" spans="3:9" x14ac:dyDescent="0.25">
      <c r="F156" s="74"/>
      <c r="G156" s="74"/>
      <c r="H156" s="74"/>
      <c r="I156" s="345"/>
    </row>
    <row r="157" spans="3:9" x14ac:dyDescent="0.25">
      <c r="F157" s="74"/>
      <c r="G157" s="74"/>
      <c r="H157" s="74"/>
      <c r="I157" s="345"/>
    </row>
    <row r="158" spans="3:9" x14ac:dyDescent="0.25">
      <c r="F158" s="74"/>
      <c r="G158" s="74"/>
      <c r="H158" s="74"/>
      <c r="I158" s="345"/>
    </row>
  </sheetData>
  <pageMargins left="0" right="0" top="0" bottom="0" header="0.31496062992125984" footer="0.31496062992125984"/>
  <pageSetup paperSize="9" scale="1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54"/>
  <sheetViews>
    <sheetView tabSelected="1" topLeftCell="A127" workbookViewId="0">
      <selection activeCell="O46" sqref="O46"/>
    </sheetView>
  </sheetViews>
  <sheetFormatPr defaultColWidth="11.5703125" defaultRowHeight="15" x14ac:dyDescent="0.25"/>
  <cols>
    <col min="1" max="1" width="43.85546875" style="305" customWidth="1"/>
    <col min="2" max="2" width="42.85546875" style="305" customWidth="1"/>
    <col min="3" max="3" width="16.28515625" style="305" customWidth="1"/>
    <col min="4" max="4" width="11.28515625" style="305" customWidth="1"/>
    <col min="5" max="5" width="14.42578125" style="305" customWidth="1"/>
    <col min="6" max="6" width="12.140625" style="305" customWidth="1"/>
    <col min="7" max="7" width="14.140625" style="305" customWidth="1"/>
    <col min="8" max="8" width="11.42578125" style="305" customWidth="1"/>
    <col min="9" max="9" width="12.7109375" style="345" customWidth="1"/>
    <col min="10" max="10" width="16" style="305" customWidth="1"/>
    <col min="11" max="11" width="46.85546875" style="305" customWidth="1"/>
    <col min="12" max="12" width="13.85546875" style="305" customWidth="1"/>
    <col min="13" max="17" width="12.5703125" style="305" customWidth="1"/>
    <col min="18" max="18" width="16.85546875" style="305" customWidth="1"/>
    <col min="19" max="21" width="9.7109375" style="305" customWidth="1"/>
    <col min="22" max="22" width="11.5703125" style="305" customWidth="1"/>
    <col min="23" max="23" width="10.7109375" style="305" customWidth="1"/>
    <col min="24" max="24" width="10.28515625" style="305" customWidth="1"/>
    <col min="25" max="27" width="9.7109375" style="305" customWidth="1"/>
    <col min="28" max="28" width="10.140625" style="305" customWidth="1"/>
    <col min="29" max="29" width="10.28515625" style="305" customWidth="1"/>
    <col min="30" max="33" width="11.5703125" style="340"/>
    <col min="34" max="34" width="13.7109375" style="340" bestFit="1" customWidth="1"/>
    <col min="35" max="54" width="11.5703125" style="340"/>
    <col min="55" max="254" width="11.5703125" style="305"/>
    <col min="255" max="255" width="23.140625" style="305" customWidth="1"/>
    <col min="256" max="256" width="42.85546875" style="305" customWidth="1"/>
    <col min="257" max="257" width="11.5703125" style="305"/>
    <col min="258" max="258" width="11.28515625" style="305" customWidth="1"/>
    <col min="259" max="259" width="12.85546875" style="305" customWidth="1"/>
    <col min="260" max="260" width="12.140625" style="305" customWidth="1"/>
    <col min="261" max="261" width="11.7109375" style="305" customWidth="1"/>
    <col min="262" max="262" width="11.42578125" style="305" customWidth="1"/>
    <col min="263" max="263" width="12.7109375" style="305" customWidth="1"/>
    <col min="264" max="264" width="4.140625" style="305" customWidth="1"/>
    <col min="265" max="265" width="35.5703125" style="305" customWidth="1"/>
    <col min="266" max="266" width="12.5703125" style="305" customWidth="1"/>
    <col min="267" max="267" width="12.28515625" style="305" customWidth="1"/>
    <col min="268" max="268" width="12.85546875" style="305" customWidth="1"/>
    <col min="269" max="269" width="11.140625" style="305" customWidth="1"/>
    <col min="270" max="270" width="12.42578125" style="305" customWidth="1"/>
    <col min="271" max="271" width="11.42578125" style="305" customWidth="1"/>
    <col min="272" max="272" width="13.5703125" style="305" customWidth="1"/>
    <col min="273" max="510" width="11.5703125" style="305"/>
    <col min="511" max="511" width="23.140625" style="305" customWidth="1"/>
    <col min="512" max="512" width="42.85546875" style="305" customWidth="1"/>
    <col min="513" max="513" width="11.5703125" style="305"/>
    <col min="514" max="514" width="11.28515625" style="305" customWidth="1"/>
    <col min="515" max="515" width="12.85546875" style="305" customWidth="1"/>
    <col min="516" max="516" width="12.140625" style="305" customWidth="1"/>
    <col min="517" max="517" width="11.7109375" style="305" customWidth="1"/>
    <col min="518" max="518" width="11.42578125" style="305" customWidth="1"/>
    <col min="519" max="519" width="12.7109375" style="305" customWidth="1"/>
    <col min="520" max="520" width="4.140625" style="305" customWidth="1"/>
    <col min="521" max="521" width="35.5703125" style="305" customWidth="1"/>
    <col min="522" max="522" width="12.5703125" style="305" customWidth="1"/>
    <col min="523" max="523" width="12.28515625" style="305" customWidth="1"/>
    <col min="524" max="524" width="12.85546875" style="305" customWidth="1"/>
    <col min="525" max="525" width="11.140625" style="305" customWidth="1"/>
    <col min="526" max="526" width="12.42578125" style="305" customWidth="1"/>
    <col min="527" max="527" width="11.42578125" style="305" customWidth="1"/>
    <col min="528" max="528" width="13.5703125" style="305" customWidth="1"/>
    <col min="529" max="766" width="11.5703125" style="305"/>
    <col min="767" max="767" width="23.140625" style="305" customWidth="1"/>
    <col min="768" max="768" width="42.85546875" style="305" customWidth="1"/>
    <col min="769" max="769" width="11.5703125" style="305"/>
    <col min="770" max="770" width="11.28515625" style="305" customWidth="1"/>
    <col min="771" max="771" width="12.85546875" style="305" customWidth="1"/>
    <col min="772" max="772" width="12.140625" style="305" customWidth="1"/>
    <col min="773" max="773" width="11.7109375" style="305" customWidth="1"/>
    <col min="774" max="774" width="11.42578125" style="305" customWidth="1"/>
    <col min="775" max="775" width="12.7109375" style="305" customWidth="1"/>
    <col min="776" max="776" width="4.140625" style="305" customWidth="1"/>
    <col min="777" max="777" width="35.5703125" style="305" customWidth="1"/>
    <col min="778" max="778" width="12.5703125" style="305" customWidth="1"/>
    <col min="779" max="779" width="12.28515625" style="305" customWidth="1"/>
    <col min="780" max="780" width="12.85546875" style="305" customWidth="1"/>
    <col min="781" max="781" width="11.140625" style="305" customWidth="1"/>
    <col min="782" max="782" width="12.42578125" style="305" customWidth="1"/>
    <col min="783" max="783" width="11.42578125" style="305" customWidth="1"/>
    <col min="784" max="784" width="13.5703125" style="305" customWidth="1"/>
    <col min="785" max="1022" width="11.5703125" style="305"/>
    <col min="1023" max="1023" width="23.140625" style="305" customWidth="1"/>
    <col min="1024" max="1024" width="42.85546875" style="305" customWidth="1"/>
    <col min="1025" max="1025" width="11.5703125" style="305"/>
    <col min="1026" max="1026" width="11.28515625" style="305" customWidth="1"/>
    <col min="1027" max="1027" width="12.85546875" style="305" customWidth="1"/>
    <col min="1028" max="1028" width="12.140625" style="305" customWidth="1"/>
    <col min="1029" max="1029" width="11.7109375" style="305" customWidth="1"/>
    <col min="1030" max="1030" width="11.42578125" style="305" customWidth="1"/>
    <col min="1031" max="1031" width="12.7109375" style="305" customWidth="1"/>
    <col min="1032" max="1032" width="4.140625" style="305" customWidth="1"/>
    <col min="1033" max="1033" width="35.5703125" style="305" customWidth="1"/>
    <col min="1034" max="1034" width="12.5703125" style="305" customWidth="1"/>
    <col min="1035" max="1035" width="12.28515625" style="305" customWidth="1"/>
    <col min="1036" max="1036" width="12.85546875" style="305" customWidth="1"/>
    <col min="1037" max="1037" width="11.140625" style="305" customWidth="1"/>
    <col min="1038" max="1038" width="12.42578125" style="305" customWidth="1"/>
    <col min="1039" max="1039" width="11.42578125" style="305" customWidth="1"/>
    <col min="1040" max="1040" width="13.5703125" style="305" customWidth="1"/>
    <col min="1041" max="1278" width="11.5703125" style="305"/>
    <col min="1279" max="1279" width="23.140625" style="305" customWidth="1"/>
    <col min="1280" max="1280" width="42.85546875" style="305" customWidth="1"/>
    <col min="1281" max="1281" width="11.5703125" style="305"/>
    <col min="1282" max="1282" width="11.28515625" style="305" customWidth="1"/>
    <col min="1283" max="1283" width="12.85546875" style="305" customWidth="1"/>
    <col min="1284" max="1284" width="12.140625" style="305" customWidth="1"/>
    <col min="1285" max="1285" width="11.7109375" style="305" customWidth="1"/>
    <col min="1286" max="1286" width="11.42578125" style="305" customWidth="1"/>
    <col min="1287" max="1287" width="12.7109375" style="305" customWidth="1"/>
    <col min="1288" max="1288" width="4.140625" style="305" customWidth="1"/>
    <col min="1289" max="1289" width="35.5703125" style="305" customWidth="1"/>
    <col min="1290" max="1290" width="12.5703125" style="305" customWidth="1"/>
    <col min="1291" max="1291" width="12.28515625" style="305" customWidth="1"/>
    <col min="1292" max="1292" width="12.85546875" style="305" customWidth="1"/>
    <col min="1293" max="1293" width="11.140625" style="305" customWidth="1"/>
    <col min="1294" max="1294" width="12.42578125" style="305" customWidth="1"/>
    <col min="1295" max="1295" width="11.42578125" style="305" customWidth="1"/>
    <col min="1296" max="1296" width="13.5703125" style="305" customWidth="1"/>
    <col min="1297" max="1534" width="11.5703125" style="305"/>
    <col min="1535" max="1535" width="23.140625" style="305" customWidth="1"/>
    <col min="1536" max="1536" width="42.85546875" style="305" customWidth="1"/>
    <col min="1537" max="1537" width="11.5703125" style="305"/>
    <col min="1538" max="1538" width="11.28515625" style="305" customWidth="1"/>
    <col min="1539" max="1539" width="12.85546875" style="305" customWidth="1"/>
    <col min="1540" max="1540" width="12.140625" style="305" customWidth="1"/>
    <col min="1541" max="1541" width="11.7109375" style="305" customWidth="1"/>
    <col min="1542" max="1542" width="11.42578125" style="305" customWidth="1"/>
    <col min="1543" max="1543" width="12.7109375" style="305" customWidth="1"/>
    <col min="1544" max="1544" width="4.140625" style="305" customWidth="1"/>
    <col min="1545" max="1545" width="35.5703125" style="305" customWidth="1"/>
    <col min="1546" max="1546" width="12.5703125" style="305" customWidth="1"/>
    <col min="1547" max="1547" width="12.28515625" style="305" customWidth="1"/>
    <col min="1548" max="1548" width="12.85546875" style="305" customWidth="1"/>
    <col min="1549" max="1549" width="11.140625" style="305" customWidth="1"/>
    <col min="1550" max="1550" width="12.42578125" style="305" customWidth="1"/>
    <col min="1551" max="1551" width="11.42578125" style="305" customWidth="1"/>
    <col min="1552" max="1552" width="13.5703125" style="305" customWidth="1"/>
    <col min="1553" max="1790" width="11.5703125" style="305"/>
    <col min="1791" max="1791" width="23.140625" style="305" customWidth="1"/>
    <col min="1792" max="1792" width="42.85546875" style="305" customWidth="1"/>
    <col min="1793" max="1793" width="11.5703125" style="305"/>
    <col min="1794" max="1794" width="11.28515625" style="305" customWidth="1"/>
    <col min="1795" max="1795" width="12.85546875" style="305" customWidth="1"/>
    <col min="1796" max="1796" width="12.140625" style="305" customWidth="1"/>
    <col min="1797" max="1797" width="11.7109375" style="305" customWidth="1"/>
    <col min="1798" max="1798" width="11.42578125" style="305" customWidth="1"/>
    <col min="1799" max="1799" width="12.7109375" style="305" customWidth="1"/>
    <col min="1800" max="1800" width="4.140625" style="305" customWidth="1"/>
    <col min="1801" max="1801" width="35.5703125" style="305" customWidth="1"/>
    <col min="1802" max="1802" width="12.5703125" style="305" customWidth="1"/>
    <col min="1803" max="1803" width="12.28515625" style="305" customWidth="1"/>
    <col min="1804" max="1804" width="12.85546875" style="305" customWidth="1"/>
    <col min="1805" max="1805" width="11.140625" style="305" customWidth="1"/>
    <col min="1806" max="1806" width="12.42578125" style="305" customWidth="1"/>
    <col min="1807" max="1807" width="11.42578125" style="305" customWidth="1"/>
    <col min="1808" max="1808" width="13.5703125" style="305" customWidth="1"/>
    <col min="1809" max="2046" width="11.5703125" style="305"/>
    <col min="2047" max="2047" width="23.140625" style="305" customWidth="1"/>
    <col min="2048" max="2048" width="42.85546875" style="305" customWidth="1"/>
    <col min="2049" max="2049" width="11.5703125" style="305"/>
    <col min="2050" max="2050" width="11.28515625" style="305" customWidth="1"/>
    <col min="2051" max="2051" width="12.85546875" style="305" customWidth="1"/>
    <col min="2052" max="2052" width="12.140625" style="305" customWidth="1"/>
    <col min="2053" max="2053" width="11.7109375" style="305" customWidth="1"/>
    <col min="2054" max="2054" width="11.42578125" style="305" customWidth="1"/>
    <col min="2055" max="2055" width="12.7109375" style="305" customWidth="1"/>
    <col min="2056" max="2056" width="4.140625" style="305" customWidth="1"/>
    <col min="2057" max="2057" width="35.5703125" style="305" customWidth="1"/>
    <col min="2058" max="2058" width="12.5703125" style="305" customWidth="1"/>
    <col min="2059" max="2059" width="12.28515625" style="305" customWidth="1"/>
    <col min="2060" max="2060" width="12.85546875" style="305" customWidth="1"/>
    <col min="2061" max="2061" width="11.140625" style="305" customWidth="1"/>
    <col min="2062" max="2062" width="12.42578125" style="305" customWidth="1"/>
    <col min="2063" max="2063" width="11.42578125" style="305" customWidth="1"/>
    <col min="2064" max="2064" width="13.5703125" style="305" customWidth="1"/>
    <col min="2065" max="2302" width="11.5703125" style="305"/>
    <col min="2303" max="2303" width="23.140625" style="305" customWidth="1"/>
    <col min="2304" max="2304" width="42.85546875" style="305" customWidth="1"/>
    <col min="2305" max="2305" width="11.5703125" style="305"/>
    <col min="2306" max="2306" width="11.28515625" style="305" customWidth="1"/>
    <col min="2307" max="2307" width="12.85546875" style="305" customWidth="1"/>
    <col min="2308" max="2308" width="12.140625" style="305" customWidth="1"/>
    <col min="2309" max="2309" width="11.7109375" style="305" customWidth="1"/>
    <col min="2310" max="2310" width="11.42578125" style="305" customWidth="1"/>
    <col min="2311" max="2311" width="12.7109375" style="305" customWidth="1"/>
    <col min="2312" max="2312" width="4.140625" style="305" customWidth="1"/>
    <col min="2313" max="2313" width="35.5703125" style="305" customWidth="1"/>
    <col min="2314" max="2314" width="12.5703125" style="305" customWidth="1"/>
    <col min="2315" max="2315" width="12.28515625" style="305" customWidth="1"/>
    <col min="2316" max="2316" width="12.85546875" style="305" customWidth="1"/>
    <col min="2317" max="2317" width="11.140625" style="305" customWidth="1"/>
    <col min="2318" max="2318" width="12.42578125" style="305" customWidth="1"/>
    <col min="2319" max="2319" width="11.42578125" style="305" customWidth="1"/>
    <col min="2320" max="2320" width="13.5703125" style="305" customWidth="1"/>
    <col min="2321" max="2558" width="11.5703125" style="305"/>
    <col min="2559" max="2559" width="23.140625" style="305" customWidth="1"/>
    <col min="2560" max="2560" width="42.85546875" style="305" customWidth="1"/>
    <col min="2561" max="2561" width="11.5703125" style="305"/>
    <col min="2562" max="2562" width="11.28515625" style="305" customWidth="1"/>
    <col min="2563" max="2563" width="12.85546875" style="305" customWidth="1"/>
    <col min="2564" max="2564" width="12.140625" style="305" customWidth="1"/>
    <col min="2565" max="2565" width="11.7109375" style="305" customWidth="1"/>
    <col min="2566" max="2566" width="11.42578125" style="305" customWidth="1"/>
    <col min="2567" max="2567" width="12.7109375" style="305" customWidth="1"/>
    <col min="2568" max="2568" width="4.140625" style="305" customWidth="1"/>
    <col min="2569" max="2569" width="35.5703125" style="305" customWidth="1"/>
    <col min="2570" max="2570" width="12.5703125" style="305" customWidth="1"/>
    <col min="2571" max="2571" width="12.28515625" style="305" customWidth="1"/>
    <col min="2572" max="2572" width="12.85546875" style="305" customWidth="1"/>
    <col min="2573" max="2573" width="11.140625" style="305" customWidth="1"/>
    <col min="2574" max="2574" width="12.42578125" style="305" customWidth="1"/>
    <col min="2575" max="2575" width="11.42578125" style="305" customWidth="1"/>
    <col min="2576" max="2576" width="13.5703125" style="305" customWidth="1"/>
    <col min="2577" max="2814" width="11.5703125" style="305"/>
    <col min="2815" max="2815" width="23.140625" style="305" customWidth="1"/>
    <col min="2816" max="2816" width="42.85546875" style="305" customWidth="1"/>
    <col min="2817" max="2817" width="11.5703125" style="305"/>
    <col min="2818" max="2818" width="11.28515625" style="305" customWidth="1"/>
    <col min="2819" max="2819" width="12.85546875" style="305" customWidth="1"/>
    <col min="2820" max="2820" width="12.140625" style="305" customWidth="1"/>
    <col min="2821" max="2821" width="11.7109375" style="305" customWidth="1"/>
    <col min="2822" max="2822" width="11.42578125" style="305" customWidth="1"/>
    <col min="2823" max="2823" width="12.7109375" style="305" customWidth="1"/>
    <col min="2824" max="2824" width="4.140625" style="305" customWidth="1"/>
    <col min="2825" max="2825" width="35.5703125" style="305" customWidth="1"/>
    <col min="2826" max="2826" width="12.5703125" style="305" customWidth="1"/>
    <col min="2827" max="2827" width="12.28515625" style="305" customWidth="1"/>
    <col min="2828" max="2828" width="12.85546875" style="305" customWidth="1"/>
    <col min="2829" max="2829" width="11.140625" style="305" customWidth="1"/>
    <col min="2830" max="2830" width="12.42578125" style="305" customWidth="1"/>
    <col min="2831" max="2831" width="11.42578125" style="305" customWidth="1"/>
    <col min="2832" max="2832" width="13.5703125" style="305" customWidth="1"/>
    <col min="2833" max="3070" width="11.5703125" style="305"/>
    <col min="3071" max="3071" width="23.140625" style="305" customWidth="1"/>
    <col min="3072" max="3072" width="42.85546875" style="305" customWidth="1"/>
    <col min="3073" max="3073" width="11.5703125" style="305"/>
    <col min="3074" max="3074" width="11.28515625" style="305" customWidth="1"/>
    <col min="3075" max="3075" width="12.85546875" style="305" customWidth="1"/>
    <col min="3076" max="3076" width="12.140625" style="305" customWidth="1"/>
    <col min="3077" max="3077" width="11.7109375" style="305" customWidth="1"/>
    <col min="3078" max="3078" width="11.42578125" style="305" customWidth="1"/>
    <col min="3079" max="3079" width="12.7109375" style="305" customWidth="1"/>
    <col min="3080" max="3080" width="4.140625" style="305" customWidth="1"/>
    <col min="3081" max="3081" width="35.5703125" style="305" customWidth="1"/>
    <col min="3082" max="3082" width="12.5703125" style="305" customWidth="1"/>
    <col min="3083" max="3083" width="12.28515625" style="305" customWidth="1"/>
    <col min="3084" max="3084" width="12.85546875" style="305" customWidth="1"/>
    <col min="3085" max="3085" width="11.140625" style="305" customWidth="1"/>
    <col min="3086" max="3086" width="12.42578125" style="305" customWidth="1"/>
    <col min="3087" max="3087" width="11.42578125" style="305" customWidth="1"/>
    <col min="3088" max="3088" width="13.5703125" style="305" customWidth="1"/>
    <col min="3089" max="3326" width="11.5703125" style="305"/>
    <col min="3327" max="3327" width="23.140625" style="305" customWidth="1"/>
    <col min="3328" max="3328" width="42.85546875" style="305" customWidth="1"/>
    <col min="3329" max="3329" width="11.5703125" style="305"/>
    <col min="3330" max="3330" width="11.28515625" style="305" customWidth="1"/>
    <col min="3331" max="3331" width="12.85546875" style="305" customWidth="1"/>
    <col min="3332" max="3332" width="12.140625" style="305" customWidth="1"/>
    <col min="3333" max="3333" width="11.7109375" style="305" customWidth="1"/>
    <col min="3334" max="3334" width="11.42578125" style="305" customWidth="1"/>
    <col min="3335" max="3335" width="12.7109375" style="305" customWidth="1"/>
    <col min="3336" max="3336" width="4.140625" style="305" customWidth="1"/>
    <col min="3337" max="3337" width="35.5703125" style="305" customWidth="1"/>
    <col min="3338" max="3338" width="12.5703125" style="305" customWidth="1"/>
    <col min="3339" max="3339" width="12.28515625" style="305" customWidth="1"/>
    <col min="3340" max="3340" width="12.85546875" style="305" customWidth="1"/>
    <col min="3341" max="3341" width="11.140625" style="305" customWidth="1"/>
    <col min="3342" max="3342" width="12.42578125" style="305" customWidth="1"/>
    <col min="3343" max="3343" width="11.42578125" style="305" customWidth="1"/>
    <col min="3344" max="3344" width="13.5703125" style="305" customWidth="1"/>
    <col min="3345" max="3582" width="11.5703125" style="305"/>
    <col min="3583" max="3583" width="23.140625" style="305" customWidth="1"/>
    <col min="3584" max="3584" width="42.85546875" style="305" customWidth="1"/>
    <col min="3585" max="3585" width="11.5703125" style="305"/>
    <col min="3586" max="3586" width="11.28515625" style="305" customWidth="1"/>
    <col min="3587" max="3587" width="12.85546875" style="305" customWidth="1"/>
    <col min="3588" max="3588" width="12.140625" style="305" customWidth="1"/>
    <col min="3589" max="3589" width="11.7109375" style="305" customWidth="1"/>
    <col min="3590" max="3590" width="11.42578125" style="305" customWidth="1"/>
    <col min="3591" max="3591" width="12.7109375" style="305" customWidth="1"/>
    <col min="3592" max="3592" width="4.140625" style="305" customWidth="1"/>
    <col min="3593" max="3593" width="35.5703125" style="305" customWidth="1"/>
    <col min="3594" max="3594" width="12.5703125" style="305" customWidth="1"/>
    <col min="3595" max="3595" width="12.28515625" style="305" customWidth="1"/>
    <col min="3596" max="3596" width="12.85546875" style="305" customWidth="1"/>
    <col min="3597" max="3597" width="11.140625" style="305" customWidth="1"/>
    <col min="3598" max="3598" width="12.42578125" style="305" customWidth="1"/>
    <col min="3599" max="3599" width="11.42578125" style="305" customWidth="1"/>
    <col min="3600" max="3600" width="13.5703125" style="305" customWidth="1"/>
    <col min="3601" max="3838" width="11.5703125" style="305"/>
    <col min="3839" max="3839" width="23.140625" style="305" customWidth="1"/>
    <col min="3840" max="3840" width="42.85546875" style="305" customWidth="1"/>
    <col min="3841" max="3841" width="11.5703125" style="305"/>
    <col min="3842" max="3842" width="11.28515625" style="305" customWidth="1"/>
    <col min="3843" max="3843" width="12.85546875" style="305" customWidth="1"/>
    <col min="3844" max="3844" width="12.140625" style="305" customWidth="1"/>
    <col min="3845" max="3845" width="11.7109375" style="305" customWidth="1"/>
    <col min="3846" max="3846" width="11.42578125" style="305" customWidth="1"/>
    <col min="3847" max="3847" width="12.7109375" style="305" customWidth="1"/>
    <col min="3848" max="3848" width="4.140625" style="305" customWidth="1"/>
    <col min="3849" max="3849" width="35.5703125" style="305" customWidth="1"/>
    <col min="3850" max="3850" width="12.5703125" style="305" customWidth="1"/>
    <col min="3851" max="3851" width="12.28515625" style="305" customWidth="1"/>
    <col min="3852" max="3852" width="12.85546875" style="305" customWidth="1"/>
    <col min="3853" max="3853" width="11.140625" style="305" customWidth="1"/>
    <col min="3854" max="3854" width="12.42578125" style="305" customWidth="1"/>
    <col min="3855" max="3855" width="11.42578125" style="305" customWidth="1"/>
    <col min="3856" max="3856" width="13.5703125" style="305" customWidth="1"/>
    <col min="3857" max="4094" width="11.5703125" style="305"/>
    <col min="4095" max="4095" width="23.140625" style="305" customWidth="1"/>
    <col min="4096" max="4096" width="42.85546875" style="305" customWidth="1"/>
    <col min="4097" max="4097" width="11.5703125" style="305"/>
    <col min="4098" max="4098" width="11.28515625" style="305" customWidth="1"/>
    <col min="4099" max="4099" width="12.85546875" style="305" customWidth="1"/>
    <col min="4100" max="4100" width="12.140625" style="305" customWidth="1"/>
    <col min="4101" max="4101" width="11.7109375" style="305" customWidth="1"/>
    <col min="4102" max="4102" width="11.42578125" style="305" customWidth="1"/>
    <col min="4103" max="4103" width="12.7109375" style="305" customWidth="1"/>
    <col min="4104" max="4104" width="4.140625" style="305" customWidth="1"/>
    <col min="4105" max="4105" width="35.5703125" style="305" customWidth="1"/>
    <col min="4106" max="4106" width="12.5703125" style="305" customWidth="1"/>
    <col min="4107" max="4107" width="12.28515625" style="305" customWidth="1"/>
    <col min="4108" max="4108" width="12.85546875" style="305" customWidth="1"/>
    <col min="4109" max="4109" width="11.140625" style="305" customWidth="1"/>
    <col min="4110" max="4110" width="12.42578125" style="305" customWidth="1"/>
    <col min="4111" max="4111" width="11.42578125" style="305" customWidth="1"/>
    <col min="4112" max="4112" width="13.5703125" style="305" customWidth="1"/>
    <col min="4113" max="4350" width="11.5703125" style="305"/>
    <col min="4351" max="4351" width="23.140625" style="305" customWidth="1"/>
    <col min="4352" max="4352" width="42.85546875" style="305" customWidth="1"/>
    <col min="4353" max="4353" width="11.5703125" style="305"/>
    <col min="4354" max="4354" width="11.28515625" style="305" customWidth="1"/>
    <col min="4355" max="4355" width="12.85546875" style="305" customWidth="1"/>
    <col min="4356" max="4356" width="12.140625" style="305" customWidth="1"/>
    <col min="4357" max="4357" width="11.7109375" style="305" customWidth="1"/>
    <col min="4358" max="4358" width="11.42578125" style="305" customWidth="1"/>
    <col min="4359" max="4359" width="12.7109375" style="305" customWidth="1"/>
    <col min="4360" max="4360" width="4.140625" style="305" customWidth="1"/>
    <col min="4361" max="4361" width="35.5703125" style="305" customWidth="1"/>
    <col min="4362" max="4362" width="12.5703125" style="305" customWidth="1"/>
    <col min="4363" max="4363" width="12.28515625" style="305" customWidth="1"/>
    <col min="4364" max="4364" width="12.85546875" style="305" customWidth="1"/>
    <col min="4365" max="4365" width="11.140625" style="305" customWidth="1"/>
    <col min="4366" max="4366" width="12.42578125" style="305" customWidth="1"/>
    <col min="4367" max="4367" width="11.42578125" style="305" customWidth="1"/>
    <col min="4368" max="4368" width="13.5703125" style="305" customWidth="1"/>
    <col min="4369" max="4606" width="11.5703125" style="305"/>
    <col min="4607" max="4607" width="23.140625" style="305" customWidth="1"/>
    <col min="4608" max="4608" width="42.85546875" style="305" customWidth="1"/>
    <col min="4609" max="4609" width="11.5703125" style="305"/>
    <col min="4610" max="4610" width="11.28515625" style="305" customWidth="1"/>
    <col min="4611" max="4611" width="12.85546875" style="305" customWidth="1"/>
    <col min="4612" max="4612" width="12.140625" style="305" customWidth="1"/>
    <col min="4613" max="4613" width="11.7109375" style="305" customWidth="1"/>
    <col min="4614" max="4614" width="11.42578125" style="305" customWidth="1"/>
    <col min="4615" max="4615" width="12.7109375" style="305" customWidth="1"/>
    <col min="4616" max="4616" width="4.140625" style="305" customWidth="1"/>
    <col min="4617" max="4617" width="35.5703125" style="305" customWidth="1"/>
    <col min="4618" max="4618" width="12.5703125" style="305" customWidth="1"/>
    <col min="4619" max="4619" width="12.28515625" style="305" customWidth="1"/>
    <col min="4620" max="4620" width="12.85546875" style="305" customWidth="1"/>
    <col min="4621" max="4621" width="11.140625" style="305" customWidth="1"/>
    <col min="4622" max="4622" width="12.42578125" style="305" customWidth="1"/>
    <col min="4623" max="4623" width="11.42578125" style="305" customWidth="1"/>
    <col min="4624" max="4624" width="13.5703125" style="305" customWidth="1"/>
    <col min="4625" max="4862" width="11.5703125" style="305"/>
    <col min="4863" max="4863" width="23.140625" style="305" customWidth="1"/>
    <col min="4864" max="4864" width="42.85546875" style="305" customWidth="1"/>
    <col min="4865" max="4865" width="11.5703125" style="305"/>
    <col min="4866" max="4866" width="11.28515625" style="305" customWidth="1"/>
    <col min="4867" max="4867" width="12.85546875" style="305" customWidth="1"/>
    <col min="4868" max="4868" width="12.140625" style="305" customWidth="1"/>
    <col min="4869" max="4869" width="11.7109375" style="305" customWidth="1"/>
    <col min="4870" max="4870" width="11.42578125" style="305" customWidth="1"/>
    <col min="4871" max="4871" width="12.7109375" style="305" customWidth="1"/>
    <col min="4872" max="4872" width="4.140625" style="305" customWidth="1"/>
    <col min="4873" max="4873" width="35.5703125" style="305" customWidth="1"/>
    <col min="4874" max="4874" width="12.5703125" style="305" customWidth="1"/>
    <col min="4875" max="4875" width="12.28515625" style="305" customWidth="1"/>
    <col min="4876" max="4876" width="12.85546875" style="305" customWidth="1"/>
    <col min="4877" max="4877" width="11.140625" style="305" customWidth="1"/>
    <col min="4878" max="4878" width="12.42578125" style="305" customWidth="1"/>
    <col min="4879" max="4879" width="11.42578125" style="305" customWidth="1"/>
    <col min="4880" max="4880" width="13.5703125" style="305" customWidth="1"/>
    <col min="4881" max="5118" width="11.5703125" style="305"/>
    <col min="5119" max="5119" width="23.140625" style="305" customWidth="1"/>
    <col min="5120" max="5120" width="42.85546875" style="305" customWidth="1"/>
    <col min="5121" max="5121" width="11.5703125" style="305"/>
    <col min="5122" max="5122" width="11.28515625" style="305" customWidth="1"/>
    <col min="5123" max="5123" width="12.85546875" style="305" customWidth="1"/>
    <col min="5124" max="5124" width="12.140625" style="305" customWidth="1"/>
    <col min="5125" max="5125" width="11.7109375" style="305" customWidth="1"/>
    <col min="5126" max="5126" width="11.42578125" style="305" customWidth="1"/>
    <col min="5127" max="5127" width="12.7109375" style="305" customWidth="1"/>
    <col min="5128" max="5128" width="4.140625" style="305" customWidth="1"/>
    <col min="5129" max="5129" width="35.5703125" style="305" customWidth="1"/>
    <col min="5130" max="5130" width="12.5703125" style="305" customWidth="1"/>
    <col min="5131" max="5131" width="12.28515625" style="305" customWidth="1"/>
    <col min="5132" max="5132" width="12.85546875" style="305" customWidth="1"/>
    <col min="5133" max="5133" width="11.140625" style="305" customWidth="1"/>
    <col min="5134" max="5134" width="12.42578125" style="305" customWidth="1"/>
    <col min="5135" max="5135" width="11.42578125" style="305" customWidth="1"/>
    <col min="5136" max="5136" width="13.5703125" style="305" customWidth="1"/>
    <col min="5137" max="5374" width="11.5703125" style="305"/>
    <col min="5375" max="5375" width="23.140625" style="305" customWidth="1"/>
    <col min="5376" max="5376" width="42.85546875" style="305" customWidth="1"/>
    <col min="5377" max="5377" width="11.5703125" style="305"/>
    <col min="5378" max="5378" width="11.28515625" style="305" customWidth="1"/>
    <col min="5379" max="5379" width="12.85546875" style="305" customWidth="1"/>
    <col min="5380" max="5380" width="12.140625" style="305" customWidth="1"/>
    <col min="5381" max="5381" width="11.7109375" style="305" customWidth="1"/>
    <col min="5382" max="5382" width="11.42578125" style="305" customWidth="1"/>
    <col min="5383" max="5383" width="12.7109375" style="305" customWidth="1"/>
    <col min="5384" max="5384" width="4.140625" style="305" customWidth="1"/>
    <col min="5385" max="5385" width="35.5703125" style="305" customWidth="1"/>
    <col min="5386" max="5386" width="12.5703125" style="305" customWidth="1"/>
    <col min="5387" max="5387" width="12.28515625" style="305" customWidth="1"/>
    <col min="5388" max="5388" width="12.85546875" style="305" customWidth="1"/>
    <col min="5389" max="5389" width="11.140625" style="305" customWidth="1"/>
    <col min="5390" max="5390" width="12.42578125" style="305" customWidth="1"/>
    <col min="5391" max="5391" width="11.42578125" style="305" customWidth="1"/>
    <col min="5392" max="5392" width="13.5703125" style="305" customWidth="1"/>
    <col min="5393" max="5630" width="11.5703125" style="305"/>
    <col min="5631" max="5631" width="23.140625" style="305" customWidth="1"/>
    <col min="5632" max="5632" width="42.85546875" style="305" customWidth="1"/>
    <col min="5633" max="5633" width="11.5703125" style="305"/>
    <col min="5634" max="5634" width="11.28515625" style="305" customWidth="1"/>
    <col min="5635" max="5635" width="12.85546875" style="305" customWidth="1"/>
    <col min="5636" max="5636" width="12.140625" style="305" customWidth="1"/>
    <col min="5637" max="5637" width="11.7109375" style="305" customWidth="1"/>
    <col min="5638" max="5638" width="11.42578125" style="305" customWidth="1"/>
    <col min="5639" max="5639" width="12.7109375" style="305" customWidth="1"/>
    <col min="5640" max="5640" width="4.140625" style="305" customWidth="1"/>
    <col min="5641" max="5641" width="35.5703125" style="305" customWidth="1"/>
    <col min="5642" max="5642" width="12.5703125" style="305" customWidth="1"/>
    <col min="5643" max="5643" width="12.28515625" style="305" customWidth="1"/>
    <col min="5644" max="5644" width="12.85546875" style="305" customWidth="1"/>
    <col min="5645" max="5645" width="11.140625" style="305" customWidth="1"/>
    <col min="5646" max="5646" width="12.42578125" style="305" customWidth="1"/>
    <col min="5647" max="5647" width="11.42578125" style="305" customWidth="1"/>
    <col min="5648" max="5648" width="13.5703125" style="305" customWidth="1"/>
    <col min="5649" max="5886" width="11.5703125" style="305"/>
    <col min="5887" max="5887" width="23.140625" style="305" customWidth="1"/>
    <col min="5888" max="5888" width="42.85546875" style="305" customWidth="1"/>
    <col min="5889" max="5889" width="11.5703125" style="305"/>
    <col min="5890" max="5890" width="11.28515625" style="305" customWidth="1"/>
    <col min="5891" max="5891" width="12.85546875" style="305" customWidth="1"/>
    <col min="5892" max="5892" width="12.140625" style="305" customWidth="1"/>
    <col min="5893" max="5893" width="11.7109375" style="305" customWidth="1"/>
    <col min="5894" max="5894" width="11.42578125" style="305" customWidth="1"/>
    <col min="5895" max="5895" width="12.7109375" style="305" customWidth="1"/>
    <col min="5896" max="5896" width="4.140625" style="305" customWidth="1"/>
    <col min="5897" max="5897" width="35.5703125" style="305" customWidth="1"/>
    <col min="5898" max="5898" width="12.5703125" style="305" customWidth="1"/>
    <col min="5899" max="5899" width="12.28515625" style="305" customWidth="1"/>
    <col min="5900" max="5900" width="12.85546875" style="305" customWidth="1"/>
    <col min="5901" max="5901" width="11.140625" style="305" customWidth="1"/>
    <col min="5902" max="5902" width="12.42578125" style="305" customWidth="1"/>
    <col min="5903" max="5903" width="11.42578125" style="305" customWidth="1"/>
    <col min="5904" max="5904" width="13.5703125" style="305" customWidth="1"/>
    <col min="5905" max="6142" width="11.5703125" style="305"/>
    <col min="6143" max="6143" width="23.140625" style="305" customWidth="1"/>
    <col min="6144" max="6144" width="42.85546875" style="305" customWidth="1"/>
    <col min="6145" max="6145" width="11.5703125" style="305"/>
    <col min="6146" max="6146" width="11.28515625" style="305" customWidth="1"/>
    <col min="6147" max="6147" width="12.85546875" style="305" customWidth="1"/>
    <col min="6148" max="6148" width="12.140625" style="305" customWidth="1"/>
    <col min="6149" max="6149" width="11.7109375" style="305" customWidth="1"/>
    <col min="6150" max="6150" width="11.42578125" style="305" customWidth="1"/>
    <col min="6151" max="6151" width="12.7109375" style="305" customWidth="1"/>
    <col min="6152" max="6152" width="4.140625" style="305" customWidth="1"/>
    <col min="6153" max="6153" width="35.5703125" style="305" customWidth="1"/>
    <col min="6154" max="6154" width="12.5703125" style="305" customWidth="1"/>
    <col min="6155" max="6155" width="12.28515625" style="305" customWidth="1"/>
    <col min="6156" max="6156" width="12.85546875" style="305" customWidth="1"/>
    <col min="6157" max="6157" width="11.140625" style="305" customWidth="1"/>
    <col min="6158" max="6158" width="12.42578125" style="305" customWidth="1"/>
    <col min="6159" max="6159" width="11.42578125" style="305" customWidth="1"/>
    <col min="6160" max="6160" width="13.5703125" style="305" customWidth="1"/>
    <col min="6161" max="6398" width="11.5703125" style="305"/>
    <col min="6399" max="6399" width="23.140625" style="305" customWidth="1"/>
    <col min="6400" max="6400" width="42.85546875" style="305" customWidth="1"/>
    <col min="6401" max="6401" width="11.5703125" style="305"/>
    <col min="6402" max="6402" width="11.28515625" style="305" customWidth="1"/>
    <col min="6403" max="6403" width="12.85546875" style="305" customWidth="1"/>
    <col min="6404" max="6404" width="12.140625" style="305" customWidth="1"/>
    <col min="6405" max="6405" width="11.7109375" style="305" customWidth="1"/>
    <col min="6406" max="6406" width="11.42578125" style="305" customWidth="1"/>
    <col min="6407" max="6407" width="12.7109375" style="305" customWidth="1"/>
    <col min="6408" max="6408" width="4.140625" style="305" customWidth="1"/>
    <col min="6409" max="6409" width="35.5703125" style="305" customWidth="1"/>
    <col min="6410" max="6410" width="12.5703125" style="305" customWidth="1"/>
    <col min="6411" max="6411" width="12.28515625" style="305" customWidth="1"/>
    <col min="6412" max="6412" width="12.85546875" style="305" customWidth="1"/>
    <col min="6413" max="6413" width="11.140625" style="305" customWidth="1"/>
    <col min="6414" max="6414" width="12.42578125" style="305" customWidth="1"/>
    <col min="6415" max="6415" width="11.42578125" style="305" customWidth="1"/>
    <col min="6416" max="6416" width="13.5703125" style="305" customWidth="1"/>
    <col min="6417" max="6654" width="11.5703125" style="305"/>
    <col min="6655" max="6655" width="23.140625" style="305" customWidth="1"/>
    <col min="6656" max="6656" width="42.85546875" style="305" customWidth="1"/>
    <col min="6657" max="6657" width="11.5703125" style="305"/>
    <col min="6658" max="6658" width="11.28515625" style="305" customWidth="1"/>
    <col min="6659" max="6659" width="12.85546875" style="305" customWidth="1"/>
    <col min="6660" max="6660" width="12.140625" style="305" customWidth="1"/>
    <col min="6661" max="6661" width="11.7109375" style="305" customWidth="1"/>
    <col min="6662" max="6662" width="11.42578125" style="305" customWidth="1"/>
    <col min="6663" max="6663" width="12.7109375" style="305" customWidth="1"/>
    <col min="6664" max="6664" width="4.140625" style="305" customWidth="1"/>
    <col min="6665" max="6665" width="35.5703125" style="305" customWidth="1"/>
    <col min="6666" max="6666" width="12.5703125" style="305" customWidth="1"/>
    <col min="6667" max="6667" width="12.28515625" style="305" customWidth="1"/>
    <col min="6668" max="6668" width="12.85546875" style="305" customWidth="1"/>
    <col min="6669" max="6669" width="11.140625" style="305" customWidth="1"/>
    <col min="6670" max="6670" width="12.42578125" style="305" customWidth="1"/>
    <col min="6671" max="6671" width="11.42578125" style="305" customWidth="1"/>
    <col min="6672" max="6672" width="13.5703125" style="305" customWidth="1"/>
    <col min="6673" max="6910" width="11.5703125" style="305"/>
    <col min="6911" max="6911" width="23.140625" style="305" customWidth="1"/>
    <col min="6912" max="6912" width="42.85546875" style="305" customWidth="1"/>
    <col min="6913" max="6913" width="11.5703125" style="305"/>
    <col min="6914" max="6914" width="11.28515625" style="305" customWidth="1"/>
    <col min="6915" max="6915" width="12.85546875" style="305" customWidth="1"/>
    <col min="6916" max="6916" width="12.140625" style="305" customWidth="1"/>
    <col min="6917" max="6917" width="11.7109375" style="305" customWidth="1"/>
    <col min="6918" max="6918" width="11.42578125" style="305" customWidth="1"/>
    <col min="6919" max="6919" width="12.7109375" style="305" customWidth="1"/>
    <col min="6920" max="6920" width="4.140625" style="305" customWidth="1"/>
    <col min="6921" max="6921" width="35.5703125" style="305" customWidth="1"/>
    <col min="6922" max="6922" width="12.5703125" style="305" customWidth="1"/>
    <col min="6923" max="6923" width="12.28515625" style="305" customWidth="1"/>
    <col min="6924" max="6924" width="12.85546875" style="305" customWidth="1"/>
    <col min="6925" max="6925" width="11.140625" style="305" customWidth="1"/>
    <col min="6926" max="6926" width="12.42578125" style="305" customWidth="1"/>
    <col min="6927" max="6927" width="11.42578125" style="305" customWidth="1"/>
    <col min="6928" max="6928" width="13.5703125" style="305" customWidth="1"/>
    <col min="6929" max="7166" width="11.5703125" style="305"/>
    <col min="7167" max="7167" width="23.140625" style="305" customWidth="1"/>
    <col min="7168" max="7168" width="42.85546875" style="305" customWidth="1"/>
    <col min="7169" max="7169" width="11.5703125" style="305"/>
    <col min="7170" max="7170" width="11.28515625" style="305" customWidth="1"/>
    <col min="7171" max="7171" width="12.85546875" style="305" customWidth="1"/>
    <col min="7172" max="7172" width="12.140625" style="305" customWidth="1"/>
    <col min="7173" max="7173" width="11.7109375" style="305" customWidth="1"/>
    <col min="7174" max="7174" width="11.42578125" style="305" customWidth="1"/>
    <col min="7175" max="7175" width="12.7109375" style="305" customWidth="1"/>
    <col min="7176" max="7176" width="4.140625" style="305" customWidth="1"/>
    <col min="7177" max="7177" width="35.5703125" style="305" customWidth="1"/>
    <col min="7178" max="7178" width="12.5703125" style="305" customWidth="1"/>
    <col min="7179" max="7179" width="12.28515625" style="305" customWidth="1"/>
    <col min="7180" max="7180" width="12.85546875" style="305" customWidth="1"/>
    <col min="7181" max="7181" width="11.140625" style="305" customWidth="1"/>
    <col min="7182" max="7182" width="12.42578125" style="305" customWidth="1"/>
    <col min="7183" max="7183" width="11.42578125" style="305" customWidth="1"/>
    <col min="7184" max="7184" width="13.5703125" style="305" customWidth="1"/>
    <col min="7185" max="7422" width="11.5703125" style="305"/>
    <col min="7423" max="7423" width="23.140625" style="305" customWidth="1"/>
    <col min="7424" max="7424" width="42.85546875" style="305" customWidth="1"/>
    <col min="7425" max="7425" width="11.5703125" style="305"/>
    <col min="7426" max="7426" width="11.28515625" style="305" customWidth="1"/>
    <col min="7427" max="7427" width="12.85546875" style="305" customWidth="1"/>
    <col min="7428" max="7428" width="12.140625" style="305" customWidth="1"/>
    <col min="7429" max="7429" width="11.7109375" style="305" customWidth="1"/>
    <col min="7430" max="7430" width="11.42578125" style="305" customWidth="1"/>
    <col min="7431" max="7431" width="12.7109375" style="305" customWidth="1"/>
    <col min="7432" max="7432" width="4.140625" style="305" customWidth="1"/>
    <col min="7433" max="7433" width="35.5703125" style="305" customWidth="1"/>
    <col min="7434" max="7434" width="12.5703125" style="305" customWidth="1"/>
    <col min="7435" max="7435" width="12.28515625" style="305" customWidth="1"/>
    <col min="7436" max="7436" width="12.85546875" style="305" customWidth="1"/>
    <col min="7437" max="7437" width="11.140625" style="305" customWidth="1"/>
    <col min="7438" max="7438" width="12.42578125" style="305" customWidth="1"/>
    <col min="7439" max="7439" width="11.42578125" style="305" customWidth="1"/>
    <col min="7440" max="7440" width="13.5703125" style="305" customWidth="1"/>
    <col min="7441" max="7678" width="11.5703125" style="305"/>
    <col min="7679" max="7679" width="23.140625" style="305" customWidth="1"/>
    <col min="7680" max="7680" width="42.85546875" style="305" customWidth="1"/>
    <col min="7681" max="7681" width="11.5703125" style="305"/>
    <col min="7682" max="7682" width="11.28515625" style="305" customWidth="1"/>
    <col min="7683" max="7683" width="12.85546875" style="305" customWidth="1"/>
    <col min="7684" max="7684" width="12.140625" style="305" customWidth="1"/>
    <col min="7685" max="7685" width="11.7109375" style="305" customWidth="1"/>
    <col min="7686" max="7686" width="11.42578125" style="305" customWidth="1"/>
    <col min="7687" max="7687" width="12.7109375" style="305" customWidth="1"/>
    <col min="7688" max="7688" width="4.140625" style="305" customWidth="1"/>
    <col min="7689" max="7689" width="35.5703125" style="305" customWidth="1"/>
    <col min="7690" max="7690" width="12.5703125" style="305" customWidth="1"/>
    <col min="7691" max="7691" width="12.28515625" style="305" customWidth="1"/>
    <col min="7692" max="7692" width="12.85546875" style="305" customWidth="1"/>
    <col min="7693" max="7693" width="11.140625" style="305" customWidth="1"/>
    <col min="7694" max="7694" width="12.42578125" style="305" customWidth="1"/>
    <col min="7695" max="7695" width="11.42578125" style="305" customWidth="1"/>
    <col min="7696" max="7696" width="13.5703125" style="305" customWidth="1"/>
    <col min="7697" max="7934" width="11.5703125" style="305"/>
    <col min="7935" max="7935" width="23.140625" style="305" customWidth="1"/>
    <col min="7936" max="7936" width="42.85546875" style="305" customWidth="1"/>
    <col min="7937" max="7937" width="11.5703125" style="305"/>
    <col min="7938" max="7938" width="11.28515625" style="305" customWidth="1"/>
    <col min="7939" max="7939" width="12.85546875" style="305" customWidth="1"/>
    <col min="7940" max="7940" width="12.140625" style="305" customWidth="1"/>
    <col min="7941" max="7941" width="11.7109375" style="305" customWidth="1"/>
    <col min="7942" max="7942" width="11.42578125" style="305" customWidth="1"/>
    <col min="7943" max="7943" width="12.7109375" style="305" customWidth="1"/>
    <col min="7944" max="7944" width="4.140625" style="305" customWidth="1"/>
    <col min="7945" max="7945" width="35.5703125" style="305" customWidth="1"/>
    <col min="7946" max="7946" width="12.5703125" style="305" customWidth="1"/>
    <col min="7947" max="7947" width="12.28515625" style="305" customWidth="1"/>
    <col min="7948" max="7948" width="12.85546875" style="305" customWidth="1"/>
    <col min="7949" max="7949" width="11.140625" style="305" customWidth="1"/>
    <col min="7950" max="7950" width="12.42578125" style="305" customWidth="1"/>
    <col min="7951" max="7951" width="11.42578125" style="305" customWidth="1"/>
    <col min="7952" max="7952" width="13.5703125" style="305" customWidth="1"/>
    <col min="7953" max="8190" width="11.5703125" style="305"/>
    <col min="8191" max="8191" width="23.140625" style="305" customWidth="1"/>
    <col min="8192" max="8192" width="42.85546875" style="305" customWidth="1"/>
    <col min="8193" max="8193" width="11.5703125" style="305"/>
    <col min="8194" max="8194" width="11.28515625" style="305" customWidth="1"/>
    <col min="8195" max="8195" width="12.85546875" style="305" customWidth="1"/>
    <col min="8196" max="8196" width="12.140625" style="305" customWidth="1"/>
    <col min="8197" max="8197" width="11.7109375" style="305" customWidth="1"/>
    <col min="8198" max="8198" width="11.42578125" style="305" customWidth="1"/>
    <col min="8199" max="8199" width="12.7109375" style="305" customWidth="1"/>
    <col min="8200" max="8200" width="4.140625" style="305" customWidth="1"/>
    <col min="8201" max="8201" width="35.5703125" style="305" customWidth="1"/>
    <col min="8202" max="8202" width="12.5703125" style="305" customWidth="1"/>
    <col min="8203" max="8203" width="12.28515625" style="305" customWidth="1"/>
    <col min="8204" max="8204" width="12.85546875" style="305" customWidth="1"/>
    <col min="8205" max="8205" width="11.140625" style="305" customWidth="1"/>
    <col min="8206" max="8206" width="12.42578125" style="305" customWidth="1"/>
    <col min="8207" max="8207" width="11.42578125" style="305" customWidth="1"/>
    <col min="8208" max="8208" width="13.5703125" style="305" customWidth="1"/>
    <col min="8209" max="8446" width="11.5703125" style="305"/>
    <col min="8447" max="8447" width="23.140625" style="305" customWidth="1"/>
    <col min="8448" max="8448" width="42.85546875" style="305" customWidth="1"/>
    <col min="8449" max="8449" width="11.5703125" style="305"/>
    <col min="8450" max="8450" width="11.28515625" style="305" customWidth="1"/>
    <col min="8451" max="8451" width="12.85546875" style="305" customWidth="1"/>
    <col min="8452" max="8452" width="12.140625" style="305" customWidth="1"/>
    <col min="8453" max="8453" width="11.7109375" style="305" customWidth="1"/>
    <col min="8454" max="8454" width="11.42578125" style="305" customWidth="1"/>
    <col min="8455" max="8455" width="12.7109375" style="305" customWidth="1"/>
    <col min="8456" max="8456" width="4.140625" style="305" customWidth="1"/>
    <col min="8457" max="8457" width="35.5703125" style="305" customWidth="1"/>
    <col min="8458" max="8458" width="12.5703125" style="305" customWidth="1"/>
    <col min="8459" max="8459" width="12.28515625" style="305" customWidth="1"/>
    <col min="8460" max="8460" width="12.85546875" style="305" customWidth="1"/>
    <col min="8461" max="8461" width="11.140625" style="305" customWidth="1"/>
    <col min="8462" max="8462" width="12.42578125" style="305" customWidth="1"/>
    <col min="8463" max="8463" width="11.42578125" style="305" customWidth="1"/>
    <col min="8464" max="8464" width="13.5703125" style="305" customWidth="1"/>
    <col min="8465" max="8702" width="11.5703125" style="305"/>
    <col min="8703" max="8703" width="23.140625" style="305" customWidth="1"/>
    <col min="8704" max="8704" width="42.85546875" style="305" customWidth="1"/>
    <col min="8705" max="8705" width="11.5703125" style="305"/>
    <col min="8706" max="8706" width="11.28515625" style="305" customWidth="1"/>
    <col min="8707" max="8707" width="12.85546875" style="305" customWidth="1"/>
    <col min="8708" max="8708" width="12.140625" style="305" customWidth="1"/>
    <col min="8709" max="8709" width="11.7109375" style="305" customWidth="1"/>
    <col min="8710" max="8710" width="11.42578125" style="305" customWidth="1"/>
    <col min="8711" max="8711" width="12.7109375" style="305" customWidth="1"/>
    <col min="8712" max="8712" width="4.140625" style="305" customWidth="1"/>
    <col min="8713" max="8713" width="35.5703125" style="305" customWidth="1"/>
    <col min="8714" max="8714" width="12.5703125" style="305" customWidth="1"/>
    <col min="8715" max="8715" width="12.28515625" style="305" customWidth="1"/>
    <col min="8716" max="8716" width="12.85546875" style="305" customWidth="1"/>
    <col min="8717" max="8717" width="11.140625" style="305" customWidth="1"/>
    <col min="8718" max="8718" width="12.42578125" style="305" customWidth="1"/>
    <col min="8719" max="8719" width="11.42578125" style="305" customWidth="1"/>
    <col min="8720" max="8720" width="13.5703125" style="305" customWidth="1"/>
    <col min="8721" max="8958" width="11.5703125" style="305"/>
    <col min="8959" max="8959" width="23.140625" style="305" customWidth="1"/>
    <col min="8960" max="8960" width="42.85546875" style="305" customWidth="1"/>
    <col min="8961" max="8961" width="11.5703125" style="305"/>
    <col min="8962" max="8962" width="11.28515625" style="305" customWidth="1"/>
    <col min="8963" max="8963" width="12.85546875" style="305" customWidth="1"/>
    <col min="8964" max="8964" width="12.140625" style="305" customWidth="1"/>
    <col min="8965" max="8965" width="11.7109375" style="305" customWidth="1"/>
    <col min="8966" max="8966" width="11.42578125" style="305" customWidth="1"/>
    <col min="8967" max="8967" width="12.7109375" style="305" customWidth="1"/>
    <col min="8968" max="8968" width="4.140625" style="305" customWidth="1"/>
    <col min="8969" max="8969" width="35.5703125" style="305" customWidth="1"/>
    <col min="8970" max="8970" width="12.5703125" style="305" customWidth="1"/>
    <col min="8971" max="8971" width="12.28515625" style="305" customWidth="1"/>
    <col min="8972" max="8972" width="12.85546875" style="305" customWidth="1"/>
    <col min="8973" max="8973" width="11.140625" style="305" customWidth="1"/>
    <col min="8974" max="8974" width="12.42578125" style="305" customWidth="1"/>
    <col min="8975" max="8975" width="11.42578125" style="305" customWidth="1"/>
    <col min="8976" max="8976" width="13.5703125" style="305" customWidth="1"/>
    <col min="8977" max="9214" width="11.5703125" style="305"/>
    <col min="9215" max="9215" width="23.140625" style="305" customWidth="1"/>
    <col min="9216" max="9216" width="42.85546875" style="305" customWidth="1"/>
    <col min="9217" max="9217" width="11.5703125" style="305"/>
    <col min="9218" max="9218" width="11.28515625" style="305" customWidth="1"/>
    <col min="9219" max="9219" width="12.85546875" style="305" customWidth="1"/>
    <col min="9220" max="9220" width="12.140625" style="305" customWidth="1"/>
    <col min="9221" max="9221" width="11.7109375" style="305" customWidth="1"/>
    <col min="9222" max="9222" width="11.42578125" style="305" customWidth="1"/>
    <col min="9223" max="9223" width="12.7109375" style="305" customWidth="1"/>
    <col min="9224" max="9224" width="4.140625" style="305" customWidth="1"/>
    <col min="9225" max="9225" width="35.5703125" style="305" customWidth="1"/>
    <col min="9226" max="9226" width="12.5703125" style="305" customWidth="1"/>
    <col min="9227" max="9227" width="12.28515625" style="305" customWidth="1"/>
    <col min="9228" max="9228" width="12.85546875" style="305" customWidth="1"/>
    <col min="9229" max="9229" width="11.140625" style="305" customWidth="1"/>
    <col min="9230" max="9230" width="12.42578125" style="305" customWidth="1"/>
    <col min="9231" max="9231" width="11.42578125" style="305" customWidth="1"/>
    <col min="9232" max="9232" width="13.5703125" style="305" customWidth="1"/>
    <col min="9233" max="9470" width="11.5703125" style="305"/>
    <col min="9471" max="9471" width="23.140625" style="305" customWidth="1"/>
    <col min="9472" max="9472" width="42.85546875" style="305" customWidth="1"/>
    <col min="9473" max="9473" width="11.5703125" style="305"/>
    <col min="9474" max="9474" width="11.28515625" style="305" customWidth="1"/>
    <col min="9475" max="9475" width="12.85546875" style="305" customWidth="1"/>
    <col min="9476" max="9476" width="12.140625" style="305" customWidth="1"/>
    <col min="9477" max="9477" width="11.7109375" style="305" customWidth="1"/>
    <col min="9478" max="9478" width="11.42578125" style="305" customWidth="1"/>
    <col min="9479" max="9479" width="12.7109375" style="305" customWidth="1"/>
    <col min="9480" max="9480" width="4.140625" style="305" customWidth="1"/>
    <col min="9481" max="9481" width="35.5703125" style="305" customWidth="1"/>
    <col min="9482" max="9482" width="12.5703125" style="305" customWidth="1"/>
    <col min="9483" max="9483" width="12.28515625" style="305" customWidth="1"/>
    <col min="9484" max="9484" width="12.85546875" style="305" customWidth="1"/>
    <col min="9485" max="9485" width="11.140625" style="305" customWidth="1"/>
    <col min="9486" max="9486" width="12.42578125" style="305" customWidth="1"/>
    <col min="9487" max="9487" width="11.42578125" style="305" customWidth="1"/>
    <col min="9488" max="9488" width="13.5703125" style="305" customWidth="1"/>
    <col min="9489" max="9726" width="11.5703125" style="305"/>
    <col min="9727" max="9727" width="23.140625" style="305" customWidth="1"/>
    <col min="9728" max="9728" width="42.85546875" style="305" customWidth="1"/>
    <col min="9729" max="9729" width="11.5703125" style="305"/>
    <col min="9730" max="9730" width="11.28515625" style="305" customWidth="1"/>
    <col min="9731" max="9731" width="12.85546875" style="305" customWidth="1"/>
    <col min="9732" max="9732" width="12.140625" style="305" customWidth="1"/>
    <col min="9733" max="9733" width="11.7109375" style="305" customWidth="1"/>
    <col min="9734" max="9734" width="11.42578125" style="305" customWidth="1"/>
    <col min="9735" max="9735" width="12.7109375" style="305" customWidth="1"/>
    <col min="9736" max="9736" width="4.140625" style="305" customWidth="1"/>
    <col min="9737" max="9737" width="35.5703125" style="305" customWidth="1"/>
    <col min="9738" max="9738" width="12.5703125" style="305" customWidth="1"/>
    <col min="9739" max="9739" width="12.28515625" style="305" customWidth="1"/>
    <col min="9740" max="9740" width="12.85546875" style="305" customWidth="1"/>
    <col min="9741" max="9741" width="11.140625" style="305" customWidth="1"/>
    <col min="9742" max="9742" width="12.42578125" style="305" customWidth="1"/>
    <col min="9743" max="9743" width="11.42578125" style="305" customWidth="1"/>
    <col min="9744" max="9744" width="13.5703125" style="305" customWidth="1"/>
    <col min="9745" max="9982" width="11.5703125" style="305"/>
    <col min="9983" max="9983" width="23.140625" style="305" customWidth="1"/>
    <col min="9984" max="9984" width="42.85546875" style="305" customWidth="1"/>
    <col min="9985" max="9985" width="11.5703125" style="305"/>
    <col min="9986" max="9986" width="11.28515625" style="305" customWidth="1"/>
    <col min="9987" max="9987" width="12.85546875" style="305" customWidth="1"/>
    <col min="9988" max="9988" width="12.140625" style="305" customWidth="1"/>
    <col min="9989" max="9989" width="11.7109375" style="305" customWidth="1"/>
    <col min="9990" max="9990" width="11.42578125" style="305" customWidth="1"/>
    <col min="9991" max="9991" width="12.7109375" style="305" customWidth="1"/>
    <col min="9992" max="9992" width="4.140625" style="305" customWidth="1"/>
    <col min="9993" max="9993" width="35.5703125" style="305" customWidth="1"/>
    <col min="9994" max="9994" width="12.5703125" style="305" customWidth="1"/>
    <col min="9995" max="9995" width="12.28515625" style="305" customWidth="1"/>
    <col min="9996" max="9996" width="12.85546875" style="305" customWidth="1"/>
    <col min="9997" max="9997" width="11.140625" style="305" customWidth="1"/>
    <col min="9998" max="9998" width="12.42578125" style="305" customWidth="1"/>
    <col min="9999" max="9999" width="11.42578125" style="305" customWidth="1"/>
    <col min="10000" max="10000" width="13.5703125" style="305" customWidth="1"/>
    <col min="10001" max="10238" width="11.5703125" style="305"/>
    <col min="10239" max="10239" width="23.140625" style="305" customWidth="1"/>
    <col min="10240" max="10240" width="42.85546875" style="305" customWidth="1"/>
    <col min="10241" max="10241" width="11.5703125" style="305"/>
    <col min="10242" max="10242" width="11.28515625" style="305" customWidth="1"/>
    <col min="10243" max="10243" width="12.85546875" style="305" customWidth="1"/>
    <col min="10244" max="10244" width="12.140625" style="305" customWidth="1"/>
    <col min="10245" max="10245" width="11.7109375" style="305" customWidth="1"/>
    <col min="10246" max="10246" width="11.42578125" style="305" customWidth="1"/>
    <col min="10247" max="10247" width="12.7109375" style="305" customWidth="1"/>
    <col min="10248" max="10248" width="4.140625" style="305" customWidth="1"/>
    <col min="10249" max="10249" width="35.5703125" style="305" customWidth="1"/>
    <col min="10250" max="10250" width="12.5703125" style="305" customWidth="1"/>
    <col min="10251" max="10251" width="12.28515625" style="305" customWidth="1"/>
    <col min="10252" max="10252" width="12.85546875" style="305" customWidth="1"/>
    <col min="10253" max="10253" width="11.140625" style="305" customWidth="1"/>
    <col min="10254" max="10254" width="12.42578125" style="305" customWidth="1"/>
    <col min="10255" max="10255" width="11.42578125" style="305" customWidth="1"/>
    <col min="10256" max="10256" width="13.5703125" style="305" customWidth="1"/>
    <col min="10257" max="10494" width="11.5703125" style="305"/>
    <col min="10495" max="10495" width="23.140625" style="305" customWidth="1"/>
    <col min="10496" max="10496" width="42.85546875" style="305" customWidth="1"/>
    <col min="10497" max="10497" width="11.5703125" style="305"/>
    <col min="10498" max="10498" width="11.28515625" style="305" customWidth="1"/>
    <col min="10499" max="10499" width="12.85546875" style="305" customWidth="1"/>
    <col min="10500" max="10500" width="12.140625" style="305" customWidth="1"/>
    <col min="10501" max="10501" width="11.7109375" style="305" customWidth="1"/>
    <col min="10502" max="10502" width="11.42578125" style="305" customWidth="1"/>
    <col min="10503" max="10503" width="12.7109375" style="305" customWidth="1"/>
    <col min="10504" max="10504" width="4.140625" style="305" customWidth="1"/>
    <col min="10505" max="10505" width="35.5703125" style="305" customWidth="1"/>
    <col min="10506" max="10506" width="12.5703125" style="305" customWidth="1"/>
    <col min="10507" max="10507" width="12.28515625" style="305" customWidth="1"/>
    <col min="10508" max="10508" width="12.85546875" style="305" customWidth="1"/>
    <col min="10509" max="10509" width="11.140625" style="305" customWidth="1"/>
    <col min="10510" max="10510" width="12.42578125" style="305" customWidth="1"/>
    <col min="10511" max="10511" width="11.42578125" style="305" customWidth="1"/>
    <col min="10512" max="10512" width="13.5703125" style="305" customWidth="1"/>
    <col min="10513" max="10750" width="11.5703125" style="305"/>
    <col min="10751" max="10751" width="23.140625" style="305" customWidth="1"/>
    <col min="10752" max="10752" width="42.85546875" style="305" customWidth="1"/>
    <col min="10753" max="10753" width="11.5703125" style="305"/>
    <col min="10754" max="10754" width="11.28515625" style="305" customWidth="1"/>
    <col min="10755" max="10755" width="12.85546875" style="305" customWidth="1"/>
    <col min="10756" max="10756" width="12.140625" style="305" customWidth="1"/>
    <col min="10757" max="10757" width="11.7109375" style="305" customWidth="1"/>
    <col min="10758" max="10758" width="11.42578125" style="305" customWidth="1"/>
    <col min="10759" max="10759" width="12.7109375" style="305" customWidth="1"/>
    <col min="10760" max="10760" width="4.140625" style="305" customWidth="1"/>
    <col min="10761" max="10761" width="35.5703125" style="305" customWidth="1"/>
    <col min="10762" max="10762" width="12.5703125" style="305" customWidth="1"/>
    <col min="10763" max="10763" width="12.28515625" style="305" customWidth="1"/>
    <col min="10764" max="10764" width="12.85546875" style="305" customWidth="1"/>
    <col min="10765" max="10765" width="11.140625" style="305" customWidth="1"/>
    <col min="10766" max="10766" width="12.42578125" style="305" customWidth="1"/>
    <col min="10767" max="10767" width="11.42578125" style="305" customWidth="1"/>
    <col min="10768" max="10768" width="13.5703125" style="305" customWidth="1"/>
    <col min="10769" max="11006" width="11.5703125" style="305"/>
    <col min="11007" max="11007" width="23.140625" style="305" customWidth="1"/>
    <col min="11008" max="11008" width="42.85546875" style="305" customWidth="1"/>
    <col min="11009" max="11009" width="11.5703125" style="305"/>
    <col min="11010" max="11010" width="11.28515625" style="305" customWidth="1"/>
    <col min="11011" max="11011" width="12.85546875" style="305" customWidth="1"/>
    <col min="11012" max="11012" width="12.140625" style="305" customWidth="1"/>
    <col min="11013" max="11013" width="11.7109375" style="305" customWidth="1"/>
    <col min="11014" max="11014" width="11.42578125" style="305" customWidth="1"/>
    <col min="11015" max="11015" width="12.7109375" style="305" customWidth="1"/>
    <col min="11016" max="11016" width="4.140625" style="305" customWidth="1"/>
    <col min="11017" max="11017" width="35.5703125" style="305" customWidth="1"/>
    <col min="11018" max="11018" width="12.5703125" style="305" customWidth="1"/>
    <col min="11019" max="11019" width="12.28515625" style="305" customWidth="1"/>
    <col min="11020" max="11020" width="12.85546875" style="305" customWidth="1"/>
    <col min="11021" max="11021" width="11.140625" style="305" customWidth="1"/>
    <col min="11022" max="11022" width="12.42578125" style="305" customWidth="1"/>
    <col min="11023" max="11023" width="11.42578125" style="305" customWidth="1"/>
    <col min="11024" max="11024" width="13.5703125" style="305" customWidth="1"/>
    <col min="11025" max="11262" width="11.5703125" style="305"/>
    <col min="11263" max="11263" width="23.140625" style="305" customWidth="1"/>
    <col min="11264" max="11264" width="42.85546875" style="305" customWidth="1"/>
    <col min="11265" max="11265" width="11.5703125" style="305"/>
    <col min="11266" max="11266" width="11.28515625" style="305" customWidth="1"/>
    <col min="11267" max="11267" width="12.85546875" style="305" customWidth="1"/>
    <col min="11268" max="11268" width="12.140625" style="305" customWidth="1"/>
    <col min="11269" max="11269" width="11.7109375" style="305" customWidth="1"/>
    <col min="11270" max="11270" width="11.42578125" style="305" customWidth="1"/>
    <col min="11271" max="11271" width="12.7109375" style="305" customWidth="1"/>
    <col min="11272" max="11272" width="4.140625" style="305" customWidth="1"/>
    <col min="11273" max="11273" width="35.5703125" style="305" customWidth="1"/>
    <col min="11274" max="11274" width="12.5703125" style="305" customWidth="1"/>
    <col min="11275" max="11275" width="12.28515625" style="305" customWidth="1"/>
    <col min="11276" max="11276" width="12.85546875" style="305" customWidth="1"/>
    <col min="11277" max="11277" width="11.140625" style="305" customWidth="1"/>
    <col min="11278" max="11278" width="12.42578125" style="305" customWidth="1"/>
    <col min="11279" max="11279" width="11.42578125" style="305" customWidth="1"/>
    <col min="11280" max="11280" width="13.5703125" style="305" customWidth="1"/>
    <col min="11281" max="11518" width="11.5703125" style="305"/>
    <col min="11519" max="11519" width="23.140625" style="305" customWidth="1"/>
    <col min="11520" max="11520" width="42.85546875" style="305" customWidth="1"/>
    <col min="11521" max="11521" width="11.5703125" style="305"/>
    <col min="11522" max="11522" width="11.28515625" style="305" customWidth="1"/>
    <col min="11523" max="11523" width="12.85546875" style="305" customWidth="1"/>
    <col min="11524" max="11524" width="12.140625" style="305" customWidth="1"/>
    <col min="11525" max="11525" width="11.7109375" style="305" customWidth="1"/>
    <col min="11526" max="11526" width="11.42578125" style="305" customWidth="1"/>
    <col min="11527" max="11527" width="12.7109375" style="305" customWidth="1"/>
    <col min="11528" max="11528" width="4.140625" style="305" customWidth="1"/>
    <col min="11529" max="11529" width="35.5703125" style="305" customWidth="1"/>
    <col min="11530" max="11530" width="12.5703125" style="305" customWidth="1"/>
    <col min="11531" max="11531" width="12.28515625" style="305" customWidth="1"/>
    <col min="11532" max="11532" width="12.85546875" style="305" customWidth="1"/>
    <col min="11533" max="11533" width="11.140625" style="305" customWidth="1"/>
    <col min="11534" max="11534" width="12.42578125" style="305" customWidth="1"/>
    <col min="11535" max="11535" width="11.42578125" style="305" customWidth="1"/>
    <col min="11536" max="11536" width="13.5703125" style="305" customWidth="1"/>
    <col min="11537" max="11774" width="11.5703125" style="305"/>
    <col min="11775" max="11775" width="23.140625" style="305" customWidth="1"/>
    <col min="11776" max="11776" width="42.85546875" style="305" customWidth="1"/>
    <col min="11777" max="11777" width="11.5703125" style="305"/>
    <col min="11778" max="11778" width="11.28515625" style="305" customWidth="1"/>
    <col min="11779" max="11779" width="12.85546875" style="305" customWidth="1"/>
    <col min="11780" max="11780" width="12.140625" style="305" customWidth="1"/>
    <col min="11781" max="11781" width="11.7109375" style="305" customWidth="1"/>
    <col min="11782" max="11782" width="11.42578125" style="305" customWidth="1"/>
    <col min="11783" max="11783" width="12.7109375" style="305" customWidth="1"/>
    <col min="11784" max="11784" width="4.140625" style="305" customWidth="1"/>
    <col min="11785" max="11785" width="35.5703125" style="305" customWidth="1"/>
    <col min="11786" max="11786" width="12.5703125" style="305" customWidth="1"/>
    <col min="11787" max="11787" width="12.28515625" style="305" customWidth="1"/>
    <col min="11788" max="11788" width="12.85546875" style="305" customWidth="1"/>
    <col min="11789" max="11789" width="11.140625" style="305" customWidth="1"/>
    <col min="11790" max="11790" width="12.42578125" style="305" customWidth="1"/>
    <col min="11791" max="11791" width="11.42578125" style="305" customWidth="1"/>
    <col min="11792" max="11792" width="13.5703125" style="305" customWidth="1"/>
    <col min="11793" max="12030" width="11.5703125" style="305"/>
    <col min="12031" max="12031" width="23.140625" style="305" customWidth="1"/>
    <col min="12032" max="12032" width="42.85546875" style="305" customWidth="1"/>
    <col min="12033" max="12033" width="11.5703125" style="305"/>
    <col min="12034" max="12034" width="11.28515625" style="305" customWidth="1"/>
    <col min="12035" max="12035" width="12.85546875" style="305" customWidth="1"/>
    <col min="12036" max="12036" width="12.140625" style="305" customWidth="1"/>
    <col min="12037" max="12037" width="11.7109375" style="305" customWidth="1"/>
    <col min="12038" max="12038" width="11.42578125" style="305" customWidth="1"/>
    <col min="12039" max="12039" width="12.7109375" style="305" customWidth="1"/>
    <col min="12040" max="12040" width="4.140625" style="305" customWidth="1"/>
    <col min="12041" max="12041" width="35.5703125" style="305" customWidth="1"/>
    <col min="12042" max="12042" width="12.5703125" style="305" customWidth="1"/>
    <col min="12043" max="12043" width="12.28515625" style="305" customWidth="1"/>
    <col min="12044" max="12044" width="12.85546875" style="305" customWidth="1"/>
    <col min="12045" max="12045" width="11.140625" style="305" customWidth="1"/>
    <col min="12046" max="12046" width="12.42578125" style="305" customWidth="1"/>
    <col min="12047" max="12047" width="11.42578125" style="305" customWidth="1"/>
    <col min="12048" max="12048" width="13.5703125" style="305" customWidth="1"/>
    <col min="12049" max="12286" width="11.5703125" style="305"/>
    <col min="12287" max="12287" width="23.140625" style="305" customWidth="1"/>
    <col min="12288" max="12288" width="42.85546875" style="305" customWidth="1"/>
    <col min="12289" max="12289" width="11.5703125" style="305"/>
    <col min="12290" max="12290" width="11.28515625" style="305" customWidth="1"/>
    <col min="12291" max="12291" width="12.85546875" style="305" customWidth="1"/>
    <col min="12292" max="12292" width="12.140625" style="305" customWidth="1"/>
    <col min="12293" max="12293" width="11.7109375" style="305" customWidth="1"/>
    <col min="12294" max="12294" width="11.42578125" style="305" customWidth="1"/>
    <col min="12295" max="12295" width="12.7109375" style="305" customWidth="1"/>
    <col min="12296" max="12296" width="4.140625" style="305" customWidth="1"/>
    <col min="12297" max="12297" width="35.5703125" style="305" customWidth="1"/>
    <col min="12298" max="12298" width="12.5703125" style="305" customWidth="1"/>
    <col min="12299" max="12299" width="12.28515625" style="305" customWidth="1"/>
    <col min="12300" max="12300" width="12.85546875" style="305" customWidth="1"/>
    <col min="12301" max="12301" width="11.140625" style="305" customWidth="1"/>
    <col min="12302" max="12302" width="12.42578125" style="305" customWidth="1"/>
    <col min="12303" max="12303" width="11.42578125" style="305" customWidth="1"/>
    <col min="12304" max="12304" width="13.5703125" style="305" customWidth="1"/>
    <col min="12305" max="12542" width="11.5703125" style="305"/>
    <col min="12543" max="12543" width="23.140625" style="305" customWidth="1"/>
    <col min="12544" max="12544" width="42.85546875" style="305" customWidth="1"/>
    <col min="12545" max="12545" width="11.5703125" style="305"/>
    <col min="12546" max="12546" width="11.28515625" style="305" customWidth="1"/>
    <col min="12547" max="12547" width="12.85546875" style="305" customWidth="1"/>
    <col min="12548" max="12548" width="12.140625" style="305" customWidth="1"/>
    <col min="12549" max="12549" width="11.7109375" style="305" customWidth="1"/>
    <col min="12550" max="12550" width="11.42578125" style="305" customWidth="1"/>
    <col min="12551" max="12551" width="12.7109375" style="305" customWidth="1"/>
    <col min="12552" max="12552" width="4.140625" style="305" customWidth="1"/>
    <col min="12553" max="12553" width="35.5703125" style="305" customWidth="1"/>
    <col min="12554" max="12554" width="12.5703125" style="305" customWidth="1"/>
    <col min="12555" max="12555" width="12.28515625" style="305" customWidth="1"/>
    <col min="12556" max="12556" width="12.85546875" style="305" customWidth="1"/>
    <col min="12557" max="12557" width="11.140625" style="305" customWidth="1"/>
    <col min="12558" max="12558" width="12.42578125" style="305" customWidth="1"/>
    <col min="12559" max="12559" width="11.42578125" style="305" customWidth="1"/>
    <col min="12560" max="12560" width="13.5703125" style="305" customWidth="1"/>
    <col min="12561" max="12798" width="11.5703125" style="305"/>
    <col min="12799" max="12799" width="23.140625" style="305" customWidth="1"/>
    <col min="12800" max="12800" width="42.85546875" style="305" customWidth="1"/>
    <col min="12801" max="12801" width="11.5703125" style="305"/>
    <col min="12802" max="12802" width="11.28515625" style="305" customWidth="1"/>
    <col min="12803" max="12803" width="12.85546875" style="305" customWidth="1"/>
    <col min="12804" max="12804" width="12.140625" style="305" customWidth="1"/>
    <col min="12805" max="12805" width="11.7109375" style="305" customWidth="1"/>
    <col min="12806" max="12806" width="11.42578125" style="305" customWidth="1"/>
    <col min="12807" max="12807" width="12.7109375" style="305" customWidth="1"/>
    <col min="12808" max="12808" width="4.140625" style="305" customWidth="1"/>
    <col min="12809" max="12809" width="35.5703125" style="305" customWidth="1"/>
    <col min="12810" max="12810" width="12.5703125" style="305" customWidth="1"/>
    <col min="12811" max="12811" width="12.28515625" style="305" customWidth="1"/>
    <col min="12812" max="12812" width="12.85546875" style="305" customWidth="1"/>
    <col min="12813" max="12813" width="11.140625" style="305" customWidth="1"/>
    <col min="12814" max="12814" width="12.42578125" style="305" customWidth="1"/>
    <col min="12815" max="12815" width="11.42578125" style="305" customWidth="1"/>
    <col min="12816" max="12816" width="13.5703125" style="305" customWidth="1"/>
    <col min="12817" max="13054" width="11.5703125" style="305"/>
    <col min="13055" max="13055" width="23.140625" style="305" customWidth="1"/>
    <col min="13056" max="13056" width="42.85546875" style="305" customWidth="1"/>
    <col min="13057" max="13057" width="11.5703125" style="305"/>
    <col min="13058" max="13058" width="11.28515625" style="305" customWidth="1"/>
    <col min="13059" max="13059" width="12.85546875" style="305" customWidth="1"/>
    <col min="13060" max="13060" width="12.140625" style="305" customWidth="1"/>
    <col min="13061" max="13061" width="11.7109375" style="305" customWidth="1"/>
    <col min="13062" max="13062" width="11.42578125" style="305" customWidth="1"/>
    <col min="13063" max="13063" width="12.7109375" style="305" customWidth="1"/>
    <col min="13064" max="13064" width="4.140625" style="305" customWidth="1"/>
    <col min="13065" max="13065" width="35.5703125" style="305" customWidth="1"/>
    <col min="13066" max="13066" width="12.5703125" style="305" customWidth="1"/>
    <col min="13067" max="13067" width="12.28515625" style="305" customWidth="1"/>
    <col min="13068" max="13068" width="12.85546875" style="305" customWidth="1"/>
    <col min="13069" max="13069" width="11.140625" style="305" customWidth="1"/>
    <col min="13070" max="13070" width="12.42578125" style="305" customWidth="1"/>
    <col min="13071" max="13071" width="11.42578125" style="305" customWidth="1"/>
    <col min="13072" max="13072" width="13.5703125" style="305" customWidth="1"/>
    <col min="13073" max="13310" width="11.5703125" style="305"/>
    <col min="13311" max="13311" width="23.140625" style="305" customWidth="1"/>
    <col min="13312" max="13312" width="42.85546875" style="305" customWidth="1"/>
    <col min="13313" max="13313" width="11.5703125" style="305"/>
    <col min="13314" max="13314" width="11.28515625" style="305" customWidth="1"/>
    <col min="13315" max="13315" width="12.85546875" style="305" customWidth="1"/>
    <col min="13316" max="13316" width="12.140625" style="305" customWidth="1"/>
    <col min="13317" max="13317" width="11.7109375" style="305" customWidth="1"/>
    <col min="13318" max="13318" width="11.42578125" style="305" customWidth="1"/>
    <col min="13319" max="13319" width="12.7109375" style="305" customWidth="1"/>
    <col min="13320" max="13320" width="4.140625" style="305" customWidth="1"/>
    <col min="13321" max="13321" width="35.5703125" style="305" customWidth="1"/>
    <col min="13322" max="13322" width="12.5703125" style="305" customWidth="1"/>
    <col min="13323" max="13323" width="12.28515625" style="305" customWidth="1"/>
    <col min="13324" max="13324" width="12.85546875" style="305" customWidth="1"/>
    <col min="13325" max="13325" width="11.140625" style="305" customWidth="1"/>
    <col min="13326" max="13326" width="12.42578125" style="305" customWidth="1"/>
    <col min="13327" max="13327" width="11.42578125" style="305" customWidth="1"/>
    <col min="13328" max="13328" width="13.5703125" style="305" customWidth="1"/>
    <col min="13329" max="13566" width="11.5703125" style="305"/>
    <col min="13567" max="13567" width="23.140625" style="305" customWidth="1"/>
    <col min="13568" max="13568" width="42.85546875" style="305" customWidth="1"/>
    <col min="13569" max="13569" width="11.5703125" style="305"/>
    <col min="13570" max="13570" width="11.28515625" style="305" customWidth="1"/>
    <col min="13571" max="13571" width="12.85546875" style="305" customWidth="1"/>
    <col min="13572" max="13572" width="12.140625" style="305" customWidth="1"/>
    <col min="13573" max="13573" width="11.7109375" style="305" customWidth="1"/>
    <col min="13574" max="13574" width="11.42578125" style="305" customWidth="1"/>
    <col min="13575" max="13575" width="12.7109375" style="305" customWidth="1"/>
    <col min="13576" max="13576" width="4.140625" style="305" customWidth="1"/>
    <col min="13577" max="13577" width="35.5703125" style="305" customWidth="1"/>
    <col min="13578" max="13578" width="12.5703125" style="305" customWidth="1"/>
    <col min="13579" max="13579" width="12.28515625" style="305" customWidth="1"/>
    <col min="13580" max="13580" width="12.85546875" style="305" customWidth="1"/>
    <col min="13581" max="13581" width="11.140625" style="305" customWidth="1"/>
    <col min="13582" max="13582" width="12.42578125" style="305" customWidth="1"/>
    <col min="13583" max="13583" width="11.42578125" style="305" customWidth="1"/>
    <col min="13584" max="13584" width="13.5703125" style="305" customWidth="1"/>
    <col min="13585" max="13822" width="11.5703125" style="305"/>
    <col min="13823" max="13823" width="23.140625" style="305" customWidth="1"/>
    <col min="13824" max="13824" width="42.85546875" style="305" customWidth="1"/>
    <col min="13825" max="13825" width="11.5703125" style="305"/>
    <col min="13826" max="13826" width="11.28515625" style="305" customWidth="1"/>
    <col min="13827" max="13827" width="12.85546875" style="305" customWidth="1"/>
    <col min="13828" max="13828" width="12.140625" style="305" customWidth="1"/>
    <col min="13829" max="13829" width="11.7109375" style="305" customWidth="1"/>
    <col min="13830" max="13830" width="11.42578125" style="305" customWidth="1"/>
    <col min="13831" max="13831" width="12.7109375" style="305" customWidth="1"/>
    <col min="13832" max="13832" width="4.140625" style="305" customWidth="1"/>
    <col min="13833" max="13833" width="35.5703125" style="305" customWidth="1"/>
    <col min="13834" max="13834" width="12.5703125" style="305" customWidth="1"/>
    <col min="13835" max="13835" width="12.28515625" style="305" customWidth="1"/>
    <col min="13836" max="13836" width="12.85546875" style="305" customWidth="1"/>
    <col min="13837" max="13837" width="11.140625" style="305" customWidth="1"/>
    <col min="13838" max="13838" width="12.42578125" style="305" customWidth="1"/>
    <col min="13839" max="13839" width="11.42578125" style="305" customWidth="1"/>
    <col min="13840" max="13840" width="13.5703125" style="305" customWidth="1"/>
    <col min="13841" max="14078" width="11.5703125" style="305"/>
    <col min="14079" max="14079" width="23.140625" style="305" customWidth="1"/>
    <col min="14080" max="14080" width="42.85546875" style="305" customWidth="1"/>
    <col min="14081" max="14081" width="11.5703125" style="305"/>
    <col min="14082" max="14082" width="11.28515625" style="305" customWidth="1"/>
    <col min="14083" max="14083" width="12.85546875" style="305" customWidth="1"/>
    <col min="14084" max="14084" width="12.140625" style="305" customWidth="1"/>
    <col min="14085" max="14085" width="11.7109375" style="305" customWidth="1"/>
    <col min="14086" max="14086" width="11.42578125" style="305" customWidth="1"/>
    <col min="14087" max="14087" width="12.7109375" style="305" customWidth="1"/>
    <col min="14088" max="14088" width="4.140625" style="305" customWidth="1"/>
    <col min="14089" max="14089" width="35.5703125" style="305" customWidth="1"/>
    <col min="14090" max="14090" width="12.5703125" style="305" customWidth="1"/>
    <col min="14091" max="14091" width="12.28515625" style="305" customWidth="1"/>
    <col min="14092" max="14092" width="12.85546875" style="305" customWidth="1"/>
    <col min="14093" max="14093" width="11.140625" style="305" customWidth="1"/>
    <col min="14094" max="14094" width="12.42578125" style="305" customWidth="1"/>
    <col min="14095" max="14095" width="11.42578125" style="305" customWidth="1"/>
    <col min="14096" max="14096" width="13.5703125" style="305" customWidth="1"/>
    <col min="14097" max="14334" width="11.5703125" style="305"/>
    <col min="14335" max="14335" width="23.140625" style="305" customWidth="1"/>
    <col min="14336" max="14336" width="42.85546875" style="305" customWidth="1"/>
    <col min="14337" max="14337" width="11.5703125" style="305"/>
    <col min="14338" max="14338" width="11.28515625" style="305" customWidth="1"/>
    <col min="14339" max="14339" width="12.85546875" style="305" customWidth="1"/>
    <col min="14340" max="14340" width="12.140625" style="305" customWidth="1"/>
    <col min="14341" max="14341" width="11.7109375" style="305" customWidth="1"/>
    <col min="14342" max="14342" width="11.42578125" style="305" customWidth="1"/>
    <col min="14343" max="14343" width="12.7109375" style="305" customWidth="1"/>
    <col min="14344" max="14344" width="4.140625" style="305" customWidth="1"/>
    <col min="14345" max="14345" width="35.5703125" style="305" customWidth="1"/>
    <col min="14346" max="14346" width="12.5703125" style="305" customWidth="1"/>
    <col min="14347" max="14347" width="12.28515625" style="305" customWidth="1"/>
    <col min="14348" max="14348" width="12.85546875" style="305" customWidth="1"/>
    <col min="14349" max="14349" width="11.140625" style="305" customWidth="1"/>
    <col min="14350" max="14350" width="12.42578125" style="305" customWidth="1"/>
    <col min="14351" max="14351" width="11.42578125" style="305" customWidth="1"/>
    <col min="14352" max="14352" width="13.5703125" style="305" customWidth="1"/>
    <col min="14353" max="14590" width="11.5703125" style="305"/>
    <col min="14591" max="14591" width="23.140625" style="305" customWidth="1"/>
    <col min="14592" max="14592" width="42.85546875" style="305" customWidth="1"/>
    <col min="14593" max="14593" width="11.5703125" style="305"/>
    <col min="14594" max="14594" width="11.28515625" style="305" customWidth="1"/>
    <col min="14595" max="14595" width="12.85546875" style="305" customWidth="1"/>
    <col min="14596" max="14596" width="12.140625" style="305" customWidth="1"/>
    <col min="14597" max="14597" width="11.7109375" style="305" customWidth="1"/>
    <col min="14598" max="14598" width="11.42578125" style="305" customWidth="1"/>
    <col min="14599" max="14599" width="12.7109375" style="305" customWidth="1"/>
    <col min="14600" max="14600" width="4.140625" style="305" customWidth="1"/>
    <col min="14601" max="14601" width="35.5703125" style="305" customWidth="1"/>
    <col min="14602" max="14602" width="12.5703125" style="305" customWidth="1"/>
    <col min="14603" max="14603" width="12.28515625" style="305" customWidth="1"/>
    <col min="14604" max="14604" width="12.85546875" style="305" customWidth="1"/>
    <col min="14605" max="14605" width="11.140625" style="305" customWidth="1"/>
    <col min="14606" max="14606" width="12.42578125" style="305" customWidth="1"/>
    <col min="14607" max="14607" width="11.42578125" style="305" customWidth="1"/>
    <col min="14608" max="14608" width="13.5703125" style="305" customWidth="1"/>
    <col min="14609" max="14846" width="11.5703125" style="305"/>
    <col min="14847" max="14847" width="23.140625" style="305" customWidth="1"/>
    <col min="14848" max="14848" width="42.85546875" style="305" customWidth="1"/>
    <col min="14849" max="14849" width="11.5703125" style="305"/>
    <col min="14850" max="14850" width="11.28515625" style="305" customWidth="1"/>
    <col min="14851" max="14851" width="12.85546875" style="305" customWidth="1"/>
    <col min="14852" max="14852" width="12.140625" style="305" customWidth="1"/>
    <col min="14853" max="14853" width="11.7109375" style="305" customWidth="1"/>
    <col min="14854" max="14854" width="11.42578125" style="305" customWidth="1"/>
    <col min="14855" max="14855" width="12.7109375" style="305" customWidth="1"/>
    <col min="14856" max="14856" width="4.140625" style="305" customWidth="1"/>
    <col min="14857" max="14857" width="35.5703125" style="305" customWidth="1"/>
    <col min="14858" max="14858" width="12.5703125" style="305" customWidth="1"/>
    <col min="14859" max="14859" width="12.28515625" style="305" customWidth="1"/>
    <col min="14860" max="14860" width="12.85546875" style="305" customWidth="1"/>
    <col min="14861" max="14861" width="11.140625" style="305" customWidth="1"/>
    <col min="14862" max="14862" width="12.42578125" style="305" customWidth="1"/>
    <col min="14863" max="14863" width="11.42578125" style="305" customWidth="1"/>
    <col min="14864" max="14864" width="13.5703125" style="305" customWidth="1"/>
    <col min="14865" max="15102" width="11.5703125" style="305"/>
    <col min="15103" max="15103" width="23.140625" style="305" customWidth="1"/>
    <col min="15104" max="15104" width="42.85546875" style="305" customWidth="1"/>
    <col min="15105" max="15105" width="11.5703125" style="305"/>
    <col min="15106" max="15106" width="11.28515625" style="305" customWidth="1"/>
    <col min="15107" max="15107" width="12.85546875" style="305" customWidth="1"/>
    <col min="15108" max="15108" width="12.140625" style="305" customWidth="1"/>
    <col min="15109" max="15109" width="11.7109375" style="305" customWidth="1"/>
    <col min="15110" max="15110" width="11.42578125" style="305" customWidth="1"/>
    <col min="15111" max="15111" width="12.7109375" style="305" customWidth="1"/>
    <col min="15112" max="15112" width="4.140625" style="305" customWidth="1"/>
    <col min="15113" max="15113" width="35.5703125" style="305" customWidth="1"/>
    <col min="15114" max="15114" width="12.5703125" style="305" customWidth="1"/>
    <col min="15115" max="15115" width="12.28515625" style="305" customWidth="1"/>
    <col min="15116" max="15116" width="12.85546875" style="305" customWidth="1"/>
    <col min="15117" max="15117" width="11.140625" style="305" customWidth="1"/>
    <col min="15118" max="15118" width="12.42578125" style="305" customWidth="1"/>
    <col min="15119" max="15119" width="11.42578125" style="305" customWidth="1"/>
    <col min="15120" max="15120" width="13.5703125" style="305" customWidth="1"/>
    <col min="15121" max="15358" width="11.5703125" style="305"/>
    <col min="15359" max="15359" width="23.140625" style="305" customWidth="1"/>
    <col min="15360" max="15360" width="42.85546875" style="305" customWidth="1"/>
    <col min="15361" max="15361" width="11.5703125" style="305"/>
    <col min="15362" max="15362" width="11.28515625" style="305" customWidth="1"/>
    <col min="15363" max="15363" width="12.85546875" style="305" customWidth="1"/>
    <col min="15364" max="15364" width="12.140625" style="305" customWidth="1"/>
    <col min="15365" max="15365" width="11.7109375" style="305" customWidth="1"/>
    <col min="15366" max="15366" width="11.42578125" style="305" customWidth="1"/>
    <col min="15367" max="15367" width="12.7109375" style="305" customWidth="1"/>
    <col min="15368" max="15368" width="4.140625" style="305" customWidth="1"/>
    <col min="15369" max="15369" width="35.5703125" style="305" customWidth="1"/>
    <col min="15370" max="15370" width="12.5703125" style="305" customWidth="1"/>
    <col min="15371" max="15371" width="12.28515625" style="305" customWidth="1"/>
    <col min="15372" max="15372" width="12.85546875" style="305" customWidth="1"/>
    <col min="15373" max="15373" width="11.140625" style="305" customWidth="1"/>
    <col min="15374" max="15374" width="12.42578125" style="305" customWidth="1"/>
    <col min="15375" max="15375" width="11.42578125" style="305" customWidth="1"/>
    <col min="15376" max="15376" width="13.5703125" style="305" customWidth="1"/>
    <col min="15377" max="15614" width="11.5703125" style="305"/>
    <col min="15615" max="15615" width="23.140625" style="305" customWidth="1"/>
    <col min="15616" max="15616" width="42.85546875" style="305" customWidth="1"/>
    <col min="15617" max="15617" width="11.5703125" style="305"/>
    <col min="15618" max="15618" width="11.28515625" style="305" customWidth="1"/>
    <col min="15619" max="15619" width="12.85546875" style="305" customWidth="1"/>
    <col min="15620" max="15620" width="12.140625" style="305" customWidth="1"/>
    <col min="15621" max="15621" width="11.7109375" style="305" customWidth="1"/>
    <col min="15622" max="15622" width="11.42578125" style="305" customWidth="1"/>
    <col min="15623" max="15623" width="12.7109375" style="305" customWidth="1"/>
    <col min="15624" max="15624" width="4.140625" style="305" customWidth="1"/>
    <col min="15625" max="15625" width="35.5703125" style="305" customWidth="1"/>
    <col min="15626" max="15626" width="12.5703125" style="305" customWidth="1"/>
    <col min="15627" max="15627" width="12.28515625" style="305" customWidth="1"/>
    <col min="15628" max="15628" width="12.85546875" style="305" customWidth="1"/>
    <col min="15629" max="15629" width="11.140625" style="305" customWidth="1"/>
    <col min="15630" max="15630" width="12.42578125" style="305" customWidth="1"/>
    <col min="15631" max="15631" width="11.42578125" style="305" customWidth="1"/>
    <col min="15632" max="15632" width="13.5703125" style="305" customWidth="1"/>
    <col min="15633" max="15870" width="11.5703125" style="305"/>
    <col min="15871" max="15871" width="23.140625" style="305" customWidth="1"/>
    <col min="15872" max="15872" width="42.85546875" style="305" customWidth="1"/>
    <col min="15873" max="15873" width="11.5703125" style="305"/>
    <col min="15874" max="15874" width="11.28515625" style="305" customWidth="1"/>
    <col min="15875" max="15875" width="12.85546875" style="305" customWidth="1"/>
    <col min="15876" max="15876" width="12.140625" style="305" customWidth="1"/>
    <col min="15877" max="15877" width="11.7109375" style="305" customWidth="1"/>
    <col min="15878" max="15878" width="11.42578125" style="305" customWidth="1"/>
    <col min="15879" max="15879" width="12.7109375" style="305" customWidth="1"/>
    <col min="15880" max="15880" width="4.140625" style="305" customWidth="1"/>
    <col min="15881" max="15881" width="35.5703125" style="305" customWidth="1"/>
    <col min="15882" max="15882" width="12.5703125" style="305" customWidth="1"/>
    <col min="15883" max="15883" width="12.28515625" style="305" customWidth="1"/>
    <col min="15884" max="15884" width="12.85546875" style="305" customWidth="1"/>
    <col min="15885" max="15885" width="11.140625" style="305" customWidth="1"/>
    <col min="15886" max="15886" width="12.42578125" style="305" customWidth="1"/>
    <col min="15887" max="15887" width="11.42578125" style="305" customWidth="1"/>
    <col min="15888" max="15888" width="13.5703125" style="305" customWidth="1"/>
    <col min="15889" max="16126" width="11.5703125" style="305"/>
    <col min="16127" max="16127" width="23.140625" style="305" customWidth="1"/>
    <col min="16128" max="16128" width="42.85546875" style="305" customWidth="1"/>
    <col min="16129" max="16129" width="11.5703125" style="305"/>
    <col min="16130" max="16130" width="11.28515625" style="305" customWidth="1"/>
    <col min="16131" max="16131" width="12.85546875" style="305" customWidth="1"/>
    <col min="16132" max="16132" width="12.140625" style="305" customWidth="1"/>
    <col min="16133" max="16133" width="11.7109375" style="305" customWidth="1"/>
    <col min="16134" max="16134" width="11.42578125" style="305" customWidth="1"/>
    <col min="16135" max="16135" width="12.7109375" style="305" customWidth="1"/>
    <col min="16136" max="16136" width="4.140625" style="305" customWidth="1"/>
    <col min="16137" max="16137" width="35.5703125" style="305" customWidth="1"/>
    <col min="16138" max="16138" width="12.5703125" style="305" customWidth="1"/>
    <col min="16139" max="16139" width="12.28515625" style="305" customWidth="1"/>
    <col min="16140" max="16140" width="12.85546875" style="305" customWidth="1"/>
    <col min="16141" max="16141" width="11.140625" style="305" customWidth="1"/>
    <col min="16142" max="16142" width="12.42578125" style="305" customWidth="1"/>
    <col min="16143" max="16143" width="11.42578125" style="305" customWidth="1"/>
    <col min="16144" max="16144" width="13.5703125" style="305" customWidth="1"/>
    <col min="16145" max="16384" width="11.5703125" style="305"/>
  </cols>
  <sheetData>
    <row r="1" spans="1:42" ht="18.75" x14ac:dyDescent="0.3">
      <c r="K1" s="170"/>
      <c r="L1" s="170" t="s">
        <v>88</v>
      </c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1"/>
      <c r="Z1" s="148"/>
      <c r="AA1" s="148"/>
      <c r="AB1" s="172"/>
      <c r="AC1" s="172"/>
    </row>
    <row r="2" spans="1:42" ht="18.75" x14ac:dyDescent="0.3">
      <c r="K2" s="170" t="s">
        <v>0</v>
      </c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  <c r="Z2" s="148"/>
      <c r="AA2" s="148"/>
      <c r="AB2" s="172"/>
      <c r="AC2" s="172"/>
    </row>
    <row r="3" spans="1:42" ht="18.75" x14ac:dyDescent="0.3">
      <c r="K3" s="170" t="s">
        <v>1</v>
      </c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1"/>
      <c r="Z3" s="148"/>
      <c r="AA3" s="148"/>
      <c r="AB3" s="172"/>
      <c r="AC3" s="172"/>
    </row>
    <row r="4" spans="1:42" ht="18.75" x14ac:dyDescent="0.3">
      <c r="K4" s="170" t="s">
        <v>258</v>
      </c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1"/>
      <c r="Z4" s="148"/>
      <c r="AA4" s="148"/>
      <c r="AB4" s="172"/>
      <c r="AC4" s="172"/>
    </row>
    <row r="5" spans="1:42" ht="18.75" x14ac:dyDescent="0.3">
      <c r="A5" s="173"/>
      <c r="B5" s="170" t="s">
        <v>210</v>
      </c>
      <c r="C5" s="173"/>
      <c r="D5" s="173"/>
      <c r="E5" s="173"/>
      <c r="F5" s="173"/>
      <c r="G5" s="148"/>
      <c r="H5" s="148"/>
      <c r="I5" s="346"/>
      <c r="K5" s="170" t="s">
        <v>2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1"/>
      <c r="Z5" s="148"/>
      <c r="AA5" s="148"/>
      <c r="AB5" s="172"/>
      <c r="AC5" s="172"/>
    </row>
    <row r="6" spans="1:42" ht="18.75" x14ac:dyDescent="0.3">
      <c r="A6" s="170" t="s">
        <v>0</v>
      </c>
      <c r="B6" s="170"/>
      <c r="C6" s="170"/>
      <c r="D6" s="170"/>
      <c r="E6" s="170"/>
      <c r="F6" s="170"/>
      <c r="G6" s="148"/>
      <c r="H6" s="148"/>
      <c r="I6" s="346"/>
      <c r="K6" s="171"/>
      <c r="L6" s="171" t="s">
        <v>3</v>
      </c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48"/>
      <c r="AA6" s="148"/>
      <c r="AB6" s="172"/>
      <c r="AC6" s="172"/>
    </row>
    <row r="7" spans="1:42" ht="18.75" x14ac:dyDescent="0.3">
      <c r="A7" s="170" t="s">
        <v>1</v>
      </c>
      <c r="B7" s="170"/>
      <c r="C7" s="170"/>
      <c r="D7" s="170"/>
      <c r="E7" s="170"/>
      <c r="F7" s="170"/>
      <c r="G7" s="148"/>
      <c r="H7" s="148"/>
      <c r="I7" s="346"/>
      <c r="K7" s="148" t="s">
        <v>89</v>
      </c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72"/>
      <c r="AC7" s="172"/>
    </row>
    <row r="8" spans="1:42" ht="19.5" thickBot="1" x14ac:dyDescent="0.35">
      <c r="A8" s="170" t="s">
        <v>213</v>
      </c>
      <c r="B8" s="170"/>
      <c r="C8" s="170"/>
      <c r="D8" s="170"/>
      <c r="E8" s="170"/>
      <c r="F8" s="170"/>
      <c r="G8" s="148"/>
      <c r="H8" s="148"/>
      <c r="I8" s="346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</row>
    <row r="9" spans="1:42" ht="19.5" thickBot="1" x14ac:dyDescent="0.35">
      <c r="A9" s="170" t="s">
        <v>2</v>
      </c>
      <c r="B9" s="170"/>
      <c r="C9" s="170"/>
      <c r="D9" s="170"/>
      <c r="E9" s="170"/>
      <c r="F9" s="170"/>
      <c r="G9" s="148"/>
      <c r="H9" s="148"/>
      <c r="I9" s="346"/>
      <c r="J9" s="306"/>
      <c r="K9" s="174"/>
      <c r="L9" s="175" t="s">
        <v>4</v>
      </c>
      <c r="M9" s="176" t="s">
        <v>191</v>
      </c>
      <c r="N9" s="176" t="s">
        <v>192</v>
      </c>
      <c r="O9" s="176" t="s">
        <v>192</v>
      </c>
      <c r="P9" s="176" t="s">
        <v>241</v>
      </c>
      <c r="Q9" s="176" t="s">
        <v>241</v>
      </c>
      <c r="R9" s="176" t="s">
        <v>103</v>
      </c>
      <c r="S9" s="176" t="s">
        <v>103</v>
      </c>
      <c r="T9" s="176" t="s">
        <v>104</v>
      </c>
      <c r="U9" s="176" t="s">
        <v>105</v>
      </c>
      <c r="V9" s="175" t="s">
        <v>106</v>
      </c>
      <c r="W9" s="176" t="s">
        <v>149</v>
      </c>
      <c r="X9" s="176" t="s">
        <v>5</v>
      </c>
      <c r="Y9" s="177"/>
      <c r="Z9" s="178" t="s">
        <v>6</v>
      </c>
      <c r="AA9" s="178"/>
      <c r="AB9" s="178" t="s">
        <v>3</v>
      </c>
      <c r="AC9" s="179" t="s">
        <v>3</v>
      </c>
      <c r="AG9" s="340">
        <v>12413.7</v>
      </c>
      <c r="AI9" s="340" t="s">
        <v>249</v>
      </c>
      <c r="AJ9" s="340" t="s">
        <v>250</v>
      </c>
      <c r="AK9" s="340" t="s">
        <v>202</v>
      </c>
      <c r="AL9" s="340" t="s">
        <v>203</v>
      </c>
      <c r="AM9" s="340" t="s">
        <v>204</v>
      </c>
      <c r="AN9" s="340" t="s">
        <v>205</v>
      </c>
    </row>
    <row r="10" spans="1:42" ht="15.75" x14ac:dyDescent="0.25">
      <c r="A10" s="171"/>
      <c r="B10" s="171" t="s">
        <v>3</v>
      </c>
      <c r="C10" s="171"/>
      <c r="D10" s="171"/>
      <c r="E10" s="171"/>
      <c r="F10" s="171"/>
      <c r="G10" s="148"/>
      <c r="H10" s="148"/>
      <c r="I10" s="347"/>
      <c r="J10" s="307"/>
      <c r="K10" s="180"/>
      <c r="L10" s="181" t="s">
        <v>8</v>
      </c>
      <c r="M10" s="181" t="s">
        <v>193</v>
      </c>
      <c r="N10" s="182" t="s">
        <v>194</v>
      </c>
      <c r="O10" s="182" t="s">
        <v>240</v>
      </c>
      <c r="P10" s="182" t="s">
        <v>242</v>
      </c>
      <c r="Q10" s="182" t="s">
        <v>243</v>
      </c>
      <c r="R10" s="181" t="s">
        <v>107</v>
      </c>
      <c r="S10" s="181" t="s">
        <v>107</v>
      </c>
      <c r="T10" s="181" t="s">
        <v>108</v>
      </c>
      <c r="U10" s="181" t="s">
        <v>107</v>
      </c>
      <c r="V10" s="181" t="s">
        <v>107</v>
      </c>
      <c r="W10" s="181" t="s">
        <v>150</v>
      </c>
      <c r="X10" s="181" t="s">
        <v>9</v>
      </c>
      <c r="Y10" s="181" t="s">
        <v>10</v>
      </c>
      <c r="Z10" s="181" t="s">
        <v>11</v>
      </c>
      <c r="AA10" s="181" t="s">
        <v>12</v>
      </c>
      <c r="AB10" s="181" t="s">
        <v>13</v>
      </c>
      <c r="AC10" s="181" t="s">
        <v>14</v>
      </c>
      <c r="AH10" s="340" t="s">
        <v>200</v>
      </c>
      <c r="AI10" s="340">
        <f>23.95*4*12413.7</f>
        <v>1189232.46</v>
      </c>
      <c r="AJ10" s="340">
        <f>30.86*8*12413.7</f>
        <v>3064694.2560000001</v>
      </c>
      <c r="AK10" s="341">
        <f>35875.59+K92+K98</f>
        <v>35875.589999999997</v>
      </c>
      <c r="AL10" s="341"/>
      <c r="AM10" s="341">
        <f>AI10+AJ10-AK10-AL10</f>
        <v>4218051.1260000002</v>
      </c>
      <c r="AN10" s="340">
        <v>4170183.09</v>
      </c>
      <c r="AO10" s="341">
        <f>AM10-AN10</f>
        <v>47868.036000000313</v>
      </c>
      <c r="AP10" s="340" t="s">
        <v>206</v>
      </c>
    </row>
    <row r="11" spans="1:42" ht="16.5" thickBot="1" x14ac:dyDescent="0.3">
      <c r="A11" s="171" t="s">
        <v>3</v>
      </c>
      <c r="B11" s="171"/>
      <c r="C11" s="171"/>
      <c r="D11" s="171"/>
      <c r="E11" s="171"/>
      <c r="F11" s="171"/>
      <c r="G11" s="148"/>
      <c r="H11" s="148"/>
      <c r="I11" s="346"/>
      <c r="J11" s="307"/>
      <c r="K11" s="180"/>
      <c r="L11" s="183" t="s">
        <v>3</v>
      </c>
      <c r="M11" s="183"/>
      <c r="N11" s="184"/>
      <c r="O11" s="184"/>
      <c r="P11" s="184"/>
      <c r="Q11" s="184" t="s">
        <v>244</v>
      </c>
      <c r="R11" s="183" t="s">
        <v>109</v>
      </c>
      <c r="S11" s="183" t="s">
        <v>110</v>
      </c>
      <c r="T11" s="183" t="s">
        <v>107</v>
      </c>
      <c r="U11" s="183"/>
      <c r="V11" s="183"/>
      <c r="W11" s="183"/>
      <c r="X11" s="183" t="s">
        <v>16</v>
      </c>
      <c r="Y11" s="183"/>
      <c r="Z11" s="183"/>
      <c r="AA11" s="183"/>
      <c r="AB11" s="183"/>
      <c r="AC11" s="183"/>
      <c r="AH11" s="340" t="s">
        <v>195</v>
      </c>
      <c r="AI11" s="340">
        <f>6.25*4*12413.7</f>
        <v>310342.5</v>
      </c>
      <c r="AJ11" s="340">
        <f>9.73*8*12413.7</f>
        <v>966282.40800000005</v>
      </c>
      <c r="AK11" s="355">
        <f>L111+L113+L114+L116</f>
        <v>3446.04</v>
      </c>
      <c r="AM11" s="340">
        <f>AI11+AJ11-AK11</f>
        <v>1273178.868</v>
      </c>
      <c r="AN11" s="340">
        <v>937914.17</v>
      </c>
      <c r="AO11" s="341">
        <f t="shared" ref="AO11:AO13" si="0">AM11-AN11</f>
        <v>335264.69799999997</v>
      </c>
    </row>
    <row r="12" spans="1:42" ht="16.5" thickBot="1" x14ac:dyDescent="0.3">
      <c r="A12" s="185" t="s">
        <v>7</v>
      </c>
      <c r="B12" s="186"/>
      <c r="C12" s="133"/>
      <c r="D12" s="133"/>
      <c r="E12" s="133"/>
      <c r="F12" s="133"/>
      <c r="G12" s="133"/>
      <c r="H12" s="187"/>
      <c r="I12" s="346"/>
      <c r="J12" s="310"/>
      <c r="K12" s="188"/>
      <c r="L12" s="183" t="s">
        <v>19</v>
      </c>
      <c r="M12" s="183" t="s">
        <v>19</v>
      </c>
      <c r="N12" s="184" t="s">
        <v>19</v>
      </c>
      <c r="O12" s="184" t="s">
        <v>19</v>
      </c>
      <c r="P12" s="184" t="s">
        <v>19</v>
      </c>
      <c r="Q12" s="184" t="s">
        <v>19</v>
      </c>
      <c r="R12" s="183" t="s">
        <v>19</v>
      </c>
      <c r="S12" s="183" t="s">
        <v>19</v>
      </c>
      <c r="T12" s="183" t="s">
        <v>19</v>
      </c>
      <c r="U12" s="183" t="s">
        <v>19</v>
      </c>
      <c r="V12" s="183" t="s">
        <v>19</v>
      </c>
      <c r="W12" s="183" t="s">
        <v>19</v>
      </c>
      <c r="X12" s="183" t="s">
        <v>20</v>
      </c>
      <c r="Y12" s="183" t="s">
        <v>19</v>
      </c>
      <c r="Z12" s="183" t="s">
        <v>19</v>
      </c>
      <c r="AA12" s="183" t="s">
        <v>19</v>
      </c>
      <c r="AB12" s="183" t="s">
        <v>19</v>
      </c>
      <c r="AC12" s="189" t="s">
        <v>19</v>
      </c>
      <c r="AH12" s="340" t="s">
        <v>201</v>
      </c>
      <c r="AI12" s="340">
        <f>1.49*4*12413.7</f>
        <v>73985.652000000002</v>
      </c>
      <c r="AJ12" s="340">
        <f>3.55*8*12413.7</f>
        <v>352549.08</v>
      </c>
      <c r="AM12" s="340">
        <f>AI12+AJ12-AK12</f>
        <v>426534.73200000002</v>
      </c>
      <c r="AN12" s="340">
        <v>426541.9</v>
      </c>
      <c r="AO12" s="341">
        <f t="shared" si="0"/>
        <v>-7.1680000000051223</v>
      </c>
    </row>
    <row r="13" spans="1:42" ht="15.75" x14ac:dyDescent="0.25">
      <c r="A13" s="190" t="s">
        <v>15</v>
      </c>
      <c r="B13" s="191">
        <f>B15+B16</f>
        <v>12413.7</v>
      </c>
      <c r="C13" s="192"/>
      <c r="D13" s="192"/>
      <c r="E13" s="192"/>
      <c r="F13" s="192"/>
      <c r="G13" s="192"/>
      <c r="H13" s="193"/>
      <c r="I13" s="346"/>
      <c r="J13" s="194" t="s">
        <v>26</v>
      </c>
      <c r="K13" s="195" t="s">
        <v>239</v>
      </c>
      <c r="L13" s="196">
        <v>-1373510.4290000009</v>
      </c>
      <c r="M13" s="196">
        <v>740.85</v>
      </c>
      <c r="N13" s="196">
        <f>'[1]отч апр-дек 2023'!N36</f>
        <v>-145573.74</v>
      </c>
      <c r="O13" s="196">
        <v>0</v>
      </c>
      <c r="P13" s="196">
        <v>0</v>
      </c>
      <c r="Q13" s="196">
        <v>0</v>
      </c>
      <c r="R13" s="196"/>
      <c r="S13" s="196"/>
      <c r="T13" s="196"/>
      <c r="U13" s="196"/>
      <c r="V13" s="196"/>
      <c r="W13" s="196"/>
      <c r="X13" s="197"/>
      <c r="Y13" s="198"/>
      <c r="Z13" s="197"/>
      <c r="AA13" s="197"/>
      <c r="AB13" s="197"/>
      <c r="AC13" s="199"/>
      <c r="AI13" s="340">
        <f>SUM(AI10:AI12)</f>
        <v>1573560.612</v>
      </c>
      <c r="AJ13" s="340">
        <f>SUM(AJ10:AJ12)</f>
        <v>4383525.7439999999</v>
      </c>
      <c r="AK13" s="340">
        <f>SUM(AK10:AK12)</f>
        <v>39321.629999999997</v>
      </c>
      <c r="AM13" s="341">
        <f>SUM(AM10:AM12)</f>
        <v>5917764.7259999998</v>
      </c>
      <c r="AN13" s="340">
        <f>SUM(AN10:AN12)</f>
        <v>5534639.1600000001</v>
      </c>
      <c r="AO13" s="341">
        <f t="shared" si="0"/>
        <v>383125.56599999964</v>
      </c>
    </row>
    <row r="14" spans="1:42" ht="15.75" x14ac:dyDescent="0.25">
      <c r="A14" s="200" t="s">
        <v>17</v>
      </c>
      <c r="B14" s="201" t="s">
        <v>18</v>
      </c>
      <c r="C14" s="202"/>
      <c r="D14" s="202"/>
      <c r="E14" s="202"/>
      <c r="F14" s="202"/>
      <c r="G14" s="202"/>
      <c r="H14" s="203"/>
      <c r="I14" s="346"/>
      <c r="J14" s="307"/>
      <c r="K14" s="204" t="s">
        <v>3</v>
      </c>
      <c r="L14" s="205"/>
      <c r="M14" s="206"/>
      <c r="N14" s="206"/>
      <c r="O14" s="206"/>
      <c r="P14" s="206"/>
      <c r="Q14" s="206"/>
      <c r="R14" s="207"/>
      <c r="S14" s="207"/>
      <c r="T14" s="207"/>
      <c r="U14" s="207"/>
      <c r="V14" s="207"/>
      <c r="W14" s="207"/>
      <c r="X14" s="205"/>
      <c r="Y14" s="205"/>
      <c r="Z14" s="205"/>
      <c r="AA14" s="205"/>
      <c r="AB14" s="205"/>
      <c r="AC14" s="208"/>
      <c r="AE14" s="340">
        <v>12413.7</v>
      </c>
      <c r="AF14" s="340">
        <v>4</v>
      </c>
      <c r="AG14" s="340">
        <v>31.69</v>
      </c>
      <c r="AH14" s="358">
        <f>AE14*AF14*AG14</f>
        <v>1573560.6120000002</v>
      </c>
      <c r="AK14" s="340">
        <f>AK13/12413.7</f>
        <v>3.1675995069963019</v>
      </c>
      <c r="AM14" s="341"/>
    </row>
    <row r="15" spans="1:42" ht="15.75" x14ac:dyDescent="0.25">
      <c r="A15" s="209" t="s">
        <v>21</v>
      </c>
      <c r="B15" s="191">
        <v>12413.7</v>
      </c>
      <c r="C15" s="192"/>
      <c r="D15" s="192"/>
      <c r="E15" s="192"/>
      <c r="F15" s="192"/>
      <c r="G15" s="192"/>
      <c r="H15" s="193"/>
      <c r="I15" s="346"/>
      <c r="J15" s="210">
        <v>1</v>
      </c>
      <c r="K15" s="204" t="s">
        <v>259</v>
      </c>
      <c r="L15" s="114">
        <v>717442.26719999965</v>
      </c>
      <c r="M15" s="114">
        <v>-740.85</v>
      </c>
      <c r="N15" s="114">
        <v>-172501.58</v>
      </c>
      <c r="O15" s="114">
        <v>0</v>
      </c>
      <c r="P15" s="114">
        <v>0</v>
      </c>
      <c r="Q15" s="114">
        <v>0</v>
      </c>
      <c r="R15" s="114">
        <v>-184.35000000000059</v>
      </c>
      <c r="S15" s="114">
        <v>-2906.9200000000019</v>
      </c>
      <c r="T15" s="114">
        <v>2832.8900000000031</v>
      </c>
      <c r="U15" s="114">
        <v>1748.0299999999988</v>
      </c>
      <c r="V15" s="114">
        <v>58418.854600000021</v>
      </c>
      <c r="W15" s="114">
        <v>-18587.839999999997</v>
      </c>
      <c r="X15" s="114">
        <v>-51726.731799999994</v>
      </c>
      <c r="Y15" s="114">
        <v>-5569.82</v>
      </c>
      <c r="Z15" s="114">
        <v>-1496.7199999999998</v>
      </c>
      <c r="AA15" s="114">
        <v>-2306.8699999999994</v>
      </c>
      <c r="AB15" s="114">
        <v>-10362.641799999999</v>
      </c>
      <c r="AC15" s="211">
        <v>-31990.679999999997</v>
      </c>
      <c r="AE15" s="340">
        <v>12413.7</v>
      </c>
      <c r="AF15" s="340">
        <v>8</v>
      </c>
      <c r="AG15" s="341">
        <v>44.14</v>
      </c>
      <c r="AH15" s="358">
        <f>AE15*AF15*AG15</f>
        <v>4383525.7439999999</v>
      </c>
    </row>
    <row r="16" spans="1:42" ht="16.5" thickBot="1" x14ac:dyDescent="0.3">
      <c r="A16" s="212" t="s">
        <v>22</v>
      </c>
      <c r="B16" s="213">
        <v>0</v>
      </c>
      <c r="C16" s="214"/>
      <c r="D16" s="214"/>
      <c r="E16" s="214"/>
      <c r="F16" s="214"/>
      <c r="G16" s="214"/>
      <c r="H16" s="215"/>
      <c r="I16" s="346"/>
      <c r="J16" s="210"/>
      <c r="K16" s="20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211"/>
      <c r="AH16" s="358">
        <f>SUM(AH14:AH15)</f>
        <v>5957086.3560000006</v>
      </c>
    </row>
    <row r="17" spans="1:34" ht="15.75" x14ac:dyDescent="0.25">
      <c r="A17" s="216"/>
      <c r="B17" s="129"/>
      <c r="C17" s="192" t="s">
        <v>23</v>
      </c>
      <c r="D17" s="217"/>
      <c r="E17" s="218" t="s">
        <v>24</v>
      </c>
      <c r="F17" s="219"/>
      <c r="G17" s="192" t="s">
        <v>25</v>
      </c>
      <c r="H17" s="220"/>
      <c r="I17" s="347"/>
      <c r="J17" s="210">
        <v>2</v>
      </c>
      <c r="K17" s="204" t="s">
        <v>260</v>
      </c>
      <c r="L17" s="114">
        <f>426541.9+937914.17+4170183.09+3518.2112</f>
        <v>5538157.3711999999</v>
      </c>
      <c r="M17" s="114">
        <v>0</v>
      </c>
      <c r="N17" s="114">
        <v>0</v>
      </c>
      <c r="O17" s="114">
        <v>148964.4</v>
      </c>
      <c r="P17" s="114">
        <v>13158.53</v>
      </c>
      <c r="Q17" s="114">
        <v>85654.53</v>
      </c>
      <c r="R17" s="114">
        <v>601.74</v>
      </c>
      <c r="S17" s="114">
        <v>3410.52</v>
      </c>
      <c r="T17" s="114">
        <v>26095.54</v>
      </c>
      <c r="U17" s="114">
        <v>23465.84</v>
      </c>
      <c r="V17" s="114">
        <f>338469.41-3518.2112</f>
        <v>334951.19879999995</v>
      </c>
      <c r="W17" s="114">
        <v>0</v>
      </c>
      <c r="X17" s="114">
        <f t="shared" ref="X17" si="1">Y17+Z17+AA17+AB17+AC17</f>
        <v>0</v>
      </c>
      <c r="Y17" s="114">
        <v>0</v>
      </c>
      <c r="Z17" s="114">
        <v>0</v>
      </c>
      <c r="AA17" s="114">
        <v>0</v>
      </c>
      <c r="AB17" s="114">
        <f>0</f>
        <v>0</v>
      </c>
      <c r="AC17" s="211">
        <v>0</v>
      </c>
      <c r="AE17" s="340" t="s">
        <v>198</v>
      </c>
      <c r="AH17" s="341">
        <f>I146</f>
        <v>418928.98478000006</v>
      </c>
    </row>
    <row r="18" spans="1:34" ht="15.75" x14ac:dyDescent="0.25">
      <c r="A18" s="216" t="s">
        <v>27</v>
      </c>
      <c r="B18" s="221" t="s">
        <v>28</v>
      </c>
      <c r="C18" s="222" t="s">
        <v>29</v>
      </c>
      <c r="D18" s="223" t="s">
        <v>30</v>
      </c>
      <c r="E18" s="222" t="s">
        <v>29</v>
      </c>
      <c r="F18" s="223" t="s">
        <v>30</v>
      </c>
      <c r="G18" s="224" t="s">
        <v>29</v>
      </c>
      <c r="H18" s="223" t="s">
        <v>30</v>
      </c>
      <c r="I18" s="347"/>
      <c r="J18" s="210"/>
      <c r="K18" s="20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211"/>
      <c r="AE18" s="340" t="s">
        <v>248</v>
      </c>
      <c r="AH18" s="358">
        <f>AH16-AH17</f>
        <v>5538157.3712200001</v>
      </c>
    </row>
    <row r="19" spans="1:34" ht="15.75" x14ac:dyDescent="0.25">
      <c r="A19" s="216" t="s">
        <v>31</v>
      </c>
      <c r="B19" s="129"/>
      <c r="C19" s="222" t="s">
        <v>32</v>
      </c>
      <c r="D19" s="223" t="s">
        <v>33</v>
      </c>
      <c r="E19" s="222" t="s">
        <v>32</v>
      </c>
      <c r="F19" s="223" t="s">
        <v>34</v>
      </c>
      <c r="G19" s="224" t="s">
        <v>32</v>
      </c>
      <c r="H19" s="223" t="s">
        <v>34</v>
      </c>
      <c r="I19" s="346"/>
      <c r="J19" s="210">
        <v>3</v>
      </c>
      <c r="K19" s="204" t="s">
        <v>261</v>
      </c>
      <c r="L19" s="114">
        <f>389103.96-71.5+885199.24+4016230.65+4550.97+313.84+428.19</f>
        <v>5295755.3499999996</v>
      </c>
      <c r="M19" s="114">
        <v>0</v>
      </c>
      <c r="N19" s="114">
        <f>19.6-4717.05</f>
        <v>-4697.45</v>
      </c>
      <c r="O19" s="114">
        <f>124399+557.55</f>
        <v>124956.55</v>
      </c>
      <c r="P19" s="114">
        <v>13003.21</v>
      </c>
      <c r="Q19" s="114">
        <v>83197.23</v>
      </c>
      <c r="R19" s="114">
        <f>1943.54-203.46</f>
        <v>1740.08</v>
      </c>
      <c r="S19" s="114">
        <f>5748.7-789.14</f>
        <v>4959.5599999999995</v>
      </c>
      <c r="T19" s="114">
        <v>25230.03</v>
      </c>
      <c r="U19" s="114">
        <v>22368.69</v>
      </c>
      <c r="V19" s="114">
        <f>330711.23-26.24</f>
        <v>330684.99</v>
      </c>
      <c r="W19" s="114">
        <f>176.31-1016.65</f>
        <v>-840.33999999999992</v>
      </c>
      <c r="X19" s="114">
        <f>Y19+Z19+AA19+AB19+AC19</f>
        <v>-84.47999999999999</v>
      </c>
      <c r="Y19" s="114">
        <v>0</v>
      </c>
      <c r="Z19" s="114">
        <v>-47.82</v>
      </c>
      <c r="AA19" s="114">
        <v>-36.659999999999997</v>
      </c>
      <c r="AB19" s="114">
        <v>0</v>
      </c>
      <c r="AC19" s="211">
        <v>0</v>
      </c>
    </row>
    <row r="20" spans="1:34" ht="15.75" x14ac:dyDescent="0.25">
      <c r="A20" s="216"/>
      <c r="B20" s="129"/>
      <c r="C20" s="190"/>
      <c r="D20" s="223" t="s">
        <v>35</v>
      </c>
      <c r="E20" s="190"/>
      <c r="F20" s="223" t="s">
        <v>35</v>
      </c>
      <c r="G20" s="225"/>
      <c r="H20" s="223" t="s">
        <v>35</v>
      </c>
      <c r="I20" s="346"/>
      <c r="J20" s="210"/>
      <c r="K20" s="20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211"/>
    </row>
    <row r="21" spans="1:34" ht="15.75" x14ac:dyDescent="0.25">
      <c r="A21" s="226"/>
      <c r="B21" s="227"/>
      <c r="C21" s="228" t="s">
        <v>20</v>
      </c>
      <c r="D21" s="220" t="s">
        <v>19</v>
      </c>
      <c r="E21" s="228" t="s">
        <v>20</v>
      </c>
      <c r="F21" s="220" t="s">
        <v>19</v>
      </c>
      <c r="G21" s="229" t="s">
        <v>20</v>
      </c>
      <c r="H21" s="220" t="s">
        <v>19</v>
      </c>
      <c r="I21" s="346"/>
      <c r="J21" s="210">
        <v>4</v>
      </c>
      <c r="K21" s="204" t="s">
        <v>262</v>
      </c>
      <c r="L21" s="114">
        <f>L15+L17-L19</f>
        <v>959844.28839999996</v>
      </c>
      <c r="M21" s="114">
        <f t="shared" ref="M21:AC21" si="2">M15+M17-M19</f>
        <v>-740.85</v>
      </c>
      <c r="N21" s="114">
        <f>N15+N17-N19</f>
        <v>-167804.12999999998</v>
      </c>
      <c r="O21" s="114">
        <f>O15+O17-O19</f>
        <v>24007.849999999991</v>
      </c>
      <c r="P21" s="114">
        <f t="shared" ref="P21:Q21" si="3">P15+P17-P19</f>
        <v>155.32000000000153</v>
      </c>
      <c r="Q21" s="114">
        <f t="shared" si="3"/>
        <v>2457.3000000000029</v>
      </c>
      <c r="R21" s="114">
        <f t="shared" si="2"/>
        <v>-1322.6900000000005</v>
      </c>
      <c r="S21" s="114">
        <f t="shared" si="2"/>
        <v>-4455.9600000000009</v>
      </c>
      <c r="T21" s="114">
        <f t="shared" si="2"/>
        <v>3698.4000000000051</v>
      </c>
      <c r="U21" s="114">
        <f t="shared" si="2"/>
        <v>2845.1800000000003</v>
      </c>
      <c r="V21" s="114">
        <f t="shared" si="2"/>
        <v>62685.063399999985</v>
      </c>
      <c r="W21" s="114">
        <f t="shared" si="2"/>
        <v>-17747.499999999996</v>
      </c>
      <c r="X21" s="114">
        <f t="shared" ref="X21" si="4">Y21+Z21+AA21+AB21+AC21</f>
        <v>-51642.251799999998</v>
      </c>
      <c r="Y21" s="114">
        <f t="shared" si="2"/>
        <v>-5569.82</v>
      </c>
      <c r="Z21" s="114">
        <f t="shared" si="2"/>
        <v>-1448.8999999999999</v>
      </c>
      <c r="AA21" s="114">
        <f t="shared" si="2"/>
        <v>-2270.2099999999996</v>
      </c>
      <c r="AB21" s="114">
        <f t="shared" si="2"/>
        <v>-10362.641799999999</v>
      </c>
      <c r="AC21" s="211">
        <f t="shared" si="2"/>
        <v>-31990.679999999997</v>
      </c>
    </row>
    <row r="22" spans="1:34" ht="16.5" customHeight="1" x14ac:dyDescent="0.25">
      <c r="A22" s="79" t="s">
        <v>36</v>
      </c>
      <c r="B22" s="221" t="s">
        <v>37</v>
      </c>
      <c r="C22" s="230">
        <f>D22*8*12413.7</f>
        <v>364466.23200000002</v>
      </c>
      <c r="D22" s="231">
        <v>3.67</v>
      </c>
      <c r="E22" s="230">
        <f>F22*8*12413.7</f>
        <v>364466.23200000002</v>
      </c>
      <c r="F22" s="231">
        <v>3.67</v>
      </c>
      <c r="G22" s="232">
        <f>C22-E22</f>
        <v>0</v>
      </c>
      <c r="H22" s="231">
        <f>D22-F22</f>
        <v>0</v>
      </c>
      <c r="I22" s="348"/>
      <c r="J22" s="210"/>
      <c r="K22" s="204"/>
      <c r="L22" s="114"/>
      <c r="M22" s="114"/>
      <c r="N22" s="114"/>
      <c r="O22" s="114"/>
      <c r="P22" s="114"/>
      <c r="Q22" s="114"/>
      <c r="R22" s="114"/>
      <c r="S22" s="115"/>
      <c r="T22" s="115"/>
      <c r="U22" s="115"/>
      <c r="V22" s="114"/>
      <c r="W22" s="114"/>
      <c r="X22" s="114"/>
      <c r="Y22" s="114"/>
      <c r="Z22" s="114"/>
      <c r="AA22" s="114"/>
      <c r="AB22" s="114"/>
      <c r="AC22" s="211"/>
    </row>
    <row r="23" spans="1:34" ht="16.5" customHeight="1" x14ac:dyDescent="0.25">
      <c r="A23" s="79" t="s">
        <v>38</v>
      </c>
      <c r="B23" s="221" t="s">
        <v>39</v>
      </c>
      <c r="C23" s="233"/>
      <c r="D23" s="234"/>
      <c r="E23" s="233"/>
      <c r="F23" s="234"/>
      <c r="G23" s="235"/>
      <c r="H23" s="234"/>
      <c r="I23" s="346"/>
      <c r="J23" s="210">
        <v>5</v>
      </c>
      <c r="K23" s="204" t="s">
        <v>49</v>
      </c>
      <c r="L23" s="114">
        <v>5479232.1200000001</v>
      </c>
      <c r="M23" s="114">
        <v>0</v>
      </c>
      <c r="N23" s="114">
        <v>0</v>
      </c>
      <c r="O23" s="114">
        <v>32906.22</v>
      </c>
      <c r="P23" s="114">
        <v>13118.75</v>
      </c>
      <c r="Q23" s="114">
        <v>85624</v>
      </c>
      <c r="R23" s="114"/>
      <c r="S23" s="115"/>
      <c r="T23" s="115"/>
      <c r="U23" s="115"/>
      <c r="V23" s="115"/>
      <c r="W23" s="115"/>
      <c r="X23" s="114"/>
      <c r="Y23" s="115"/>
      <c r="Z23" s="115"/>
      <c r="AA23" s="115"/>
      <c r="AB23" s="115"/>
      <c r="AC23" s="236"/>
    </row>
    <row r="24" spans="1:34" ht="16.5" customHeight="1" x14ac:dyDescent="0.25">
      <c r="A24" s="79" t="s">
        <v>86</v>
      </c>
      <c r="B24" s="221" t="s">
        <v>41</v>
      </c>
      <c r="C24" s="233"/>
      <c r="D24" s="234"/>
      <c r="E24" s="233"/>
      <c r="F24" s="234"/>
      <c r="G24" s="235"/>
      <c r="H24" s="234"/>
      <c r="I24" s="346"/>
      <c r="J24" s="210">
        <v>6</v>
      </c>
      <c r="K24" s="204" t="s">
        <v>51</v>
      </c>
      <c r="L24" s="114">
        <f>L17-L23</f>
        <v>58925.251199999824</v>
      </c>
      <c r="M24" s="114">
        <f>M17-M23</f>
        <v>0</v>
      </c>
      <c r="N24" s="114">
        <f>N17-N23</f>
        <v>0</v>
      </c>
      <c r="O24" s="114">
        <f>O17-O23</f>
        <v>116058.18</v>
      </c>
      <c r="P24" s="114">
        <f>P17-P23</f>
        <v>39.780000000000655</v>
      </c>
      <c r="Q24" s="114">
        <f t="shared" ref="Q24" si="5">Q17-Q23</f>
        <v>30.529999999998836</v>
      </c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211"/>
    </row>
    <row r="25" spans="1:34" ht="16.5" customHeight="1" x14ac:dyDescent="0.25">
      <c r="A25" s="79" t="s">
        <v>99</v>
      </c>
      <c r="B25" s="221" t="s">
        <v>43</v>
      </c>
      <c r="C25" s="233"/>
      <c r="D25" s="234"/>
      <c r="E25" s="233"/>
      <c r="F25" s="234"/>
      <c r="G25" s="235"/>
      <c r="H25" s="234"/>
      <c r="I25" s="346"/>
      <c r="J25" s="210"/>
      <c r="K25" s="237" t="s">
        <v>245</v>
      </c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211"/>
    </row>
    <row r="26" spans="1:34" ht="16.5" customHeight="1" x14ac:dyDescent="0.25">
      <c r="A26" s="216" t="s">
        <v>40</v>
      </c>
      <c r="B26" s="221" t="s">
        <v>152</v>
      </c>
      <c r="C26" s="233"/>
      <c r="D26" s="234"/>
      <c r="E26" s="233"/>
      <c r="F26" s="234"/>
      <c r="G26" s="235"/>
      <c r="H26" s="234"/>
      <c r="I26" s="346"/>
      <c r="J26" s="210"/>
      <c r="K26" s="204" t="s">
        <v>246</v>
      </c>
      <c r="L26" s="114">
        <f>-35254.91-47172.06-1487.24</f>
        <v>-83914.21</v>
      </c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211"/>
      <c r="AH26" s="341"/>
    </row>
    <row r="27" spans="1:34" ht="16.5" customHeight="1" x14ac:dyDescent="0.25">
      <c r="A27" s="216" t="s">
        <v>42</v>
      </c>
      <c r="B27" s="221" t="s">
        <v>46</v>
      </c>
      <c r="C27" s="233"/>
      <c r="D27" s="234"/>
      <c r="E27" s="233"/>
      <c r="F27" s="234"/>
      <c r="G27" s="235"/>
      <c r="H27" s="234"/>
      <c r="I27" s="346"/>
      <c r="J27" s="210" t="s">
        <v>3</v>
      </c>
      <c r="K27" s="204" t="s">
        <v>208</v>
      </c>
      <c r="L27" s="114">
        <v>-430858.23999999999</v>
      </c>
      <c r="M27" s="115"/>
      <c r="N27" s="115"/>
      <c r="O27" s="115"/>
      <c r="P27" s="115"/>
      <c r="Q27" s="115"/>
      <c r="R27" s="114"/>
      <c r="S27" s="114"/>
      <c r="T27" s="114"/>
      <c r="U27" s="114"/>
      <c r="V27" s="114"/>
      <c r="W27" s="114"/>
      <c r="X27" s="114"/>
      <c r="Y27" s="115"/>
      <c r="Z27" s="115"/>
      <c r="AA27" s="115"/>
      <c r="AB27" s="115"/>
      <c r="AC27" s="236"/>
    </row>
    <row r="28" spans="1:34" ht="15.75" customHeight="1" x14ac:dyDescent="0.25">
      <c r="A28" s="216" t="s">
        <v>44</v>
      </c>
      <c r="B28" s="221"/>
      <c r="C28" s="233"/>
      <c r="D28" s="234"/>
      <c r="E28" s="233"/>
      <c r="F28" s="234"/>
      <c r="G28" s="235"/>
      <c r="H28" s="234"/>
      <c r="I28" s="346"/>
      <c r="J28" s="210"/>
      <c r="K28" s="204" t="s">
        <v>209</v>
      </c>
      <c r="L28" s="115">
        <v>-88409.03</v>
      </c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211"/>
    </row>
    <row r="29" spans="1:34" ht="15.75" customHeight="1" x14ac:dyDescent="0.25">
      <c r="A29" s="216" t="s">
        <v>45</v>
      </c>
      <c r="B29" s="221" t="s">
        <v>3</v>
      </c>
      <c r="C29" s="233"/>
      <c r="D29" s="234"/>
      <c r="E29" s="233"/>
      <c r="F29" s="234"/>
      <c r="G29" s="235"/>
      <c r="H29" s="234"/>
      <c r="I29" s="346"/>
      <c r="J29" s="210"/>
      <c r="K29" s="238" t="s">
        <v>155</v>
      </c>
      <c r="L29" s="167">
        <f>SUM(L26:L28)</f>
        <v>-603181.48</v>
      </c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211"/>
      <c r="AH29" s="341"/>
    </row>
    <row r="30" spans="1:34" ht="15.75" x14ac:dyDescent="0.25">
      <c r="A30" s="216" t="s">
        <v>47</v>
      </c>
      <c r="B30" s="221" t="s">
        <v>3</v>
      </c>
      <c r="C30" s="233"/>
      <c r="D30" s="234"/>
      <c r="E30" s="233"/>
      <c r="F30" s="234"/>
      <c r="G30" s="235"/>
      <c r="H30" s="234"/>
      <c r="I30" s="346"/>
      <c r="J30" s="210"/>
      <c r="K30" s="311"/>
      <c r="M30" s="115"/>
      <c r="N30" s="115"/>
      <c r="O30" s="115"/>
      <c r="P30" s="115"/>
      <c r="Q30" s="115"/>
      <c r="R30" s="114"/>
      <c r="S30" s="114"/>
      <c r="T30" s="114"/>
      <c r="U30" s="114"/>
      <c r="V30" s="114"/>
      <c r="W30" s="114"/>
      <c r="X30" s="114"/>
      <c r="Y30" s="115"/>
      <c r="Z30" s="115"/>
      <c r="AA30" s="115"/>
      <c r="AB30" s="115"/>
      <c r="AC30" s="236"/>
      <c r="AF30" s="340" t="s">
        <v>207</v>
      </c>
      <c r="AH30" s="342">
        <f>AH18</f>
        <v>5538157.3712200001</v>
      </c>
    </row>
    <row r="31" spans="1:34" ht="15.75" x14ac:dyDescent="0.25">
      <c r="A31" s="216"/>
      <c r="B31" s="221"/>
      <c r="C31" s="233"/>
      <c r="D31" s="234"/>
      <c r="E31" s="233"/>
      <c r="F31" s="234"/>
      <c r="G31" s="235"/>
      <c r="H31" s="234"/>
      <c r="I31" s="346"/>
      <c r="J31" s="210">
        <v>7</v>
      </c>
      <c r="K31" s="204" t="s">
        <v>56</v>
      </c>
      <c r="L31" s="114">
        <f>L19-L23</f>
        <v>-183476.77000000048</v>
      </c>
      <c r="M31" s="114">
        <f>M19-M23</f>
        <v>0</v>
      </c>
      <c r="N31" s="114">
        <f>N19-N23</f>
        <v>-4697.45</v>
      </c>
      <c r="O31" s="114">
        <f t="shared" ref="O31:P31" si="6">O19-O23</f>
        <v>92050.33</v>
      </c>
      <c r="P31" s="114">
        <f>P19-P23</f>
        <v>-115.54000000000087</v>
      </c>
      <c r="Q31" s="114">
        <f>Q19-Q23</f>
        <v>-2426.7700000000041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211"/>
    </row>
    <row r="32" spans="1:34" ht="15.75" x14ac:dyDescent="0.25">
      <c r="A32" s="75" t="s">
        <v>156</v>
      </c>
      <c r="B32" s="239" t="s">
        <v>37</v>
      </c>
      <c r="C32" s="230">
        <f>D32*8*12413.7</f>
        <v>432989.85600000003</v>
      </c>
      <c r="D32" s="240">
        <v>4.3600000000000003</v>
      </c>
      <c r="E32" s="230">
        <f>F32*8*12413.7</f>
        <v>432989.85600000003</v>
      </c>
      <c r="F32" s="240">
        <v>4.3600000000000003</v>
      </c>
      <c r="G32" s="232">
        <f>C32-E32</f>
        <v>0</v>
      </c>
      <c r="H32" s="240">
        <f>D32-F32</f>
        <v>0</v>
      </c>
      <c r="I32" s="348"/>
      <c r="J32" s="210"/>
      <c r="K32" s="204"/>
      <c r="L32" s="115"/>
      <c r="M32" s="115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211"/>
    </row>
    <row r="33" spans="1:34" ht="15.75" x14ac:dyDescent="0.25">
      <c r="A33" s="76" t="s">
        <v>157</v>
      </c>
      <c r="B33" s="241" t="s">
        <v>39</v>
      </c>
      <c r="C33" s="233"/>
      <c r="D33" s="234"/>
      <c r="E33" s="233"/>
      <c r="F33" s="234"/>
      <c r="G33" s="235"/>
      <c r="H33" s="234"/>
      <c r="I33" s="346"/>
      <c r="J33" s="242"/>
      <c r="K33" s="243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211"/>
      <c r="AF33" s="340" t="s">
        <v>141</v>
      </c>
      <c r="AH33" s="342">
        <f>426541.9+937914.17+4170183.09</f>
        <v>5534639.1600000001</v>
      </c>
    </row>
    <row r="34" spans="1:34" ht="15.75" x14ac:dyDescent="0.25">
      <c r="A34" s="76" t="s">
        <v>158</v>
      </c>
      <c r="B34" s="241" t="s">
        <v>41</v>
      </c>
      <c r="C34" s="233"/>
      <c r="D34" s="234"/>
      <c r="E34" s="233"/>
      <c r="F34" s="234"/>
      <c r="G34" s="235"/>
      <c r="H34" s="234"/>
      <c r="I34" s="346"/>
      <c r="J34" s="244" t="s">
        <v>60</v>
      </c>
      <c r="K34" s="238" t="s">
        <v>263</v>
      </c>
      <c r="L34" s="167">
        <f>L13+L31</f>
        <v>-1556987.1990000014</v>
      </c>
      <c r="M34" s="167">
        <f t="shared" ref="M34" si="7">M13+M31</f>
        <v>740.85</v>
      </c>
      <c r="N34" s="167">
        <f>N13+N31</f>
        <v>-150271.19</v>
      </c>
      <c r="O34" s="167">
        <f>O13+O31</f>
        <v>92050.33</v>
      </c>
      <c r="P34" s="167">
        <f>P13+P31</f>
        <v>-115.54000000000087</v>
      </c>
      <c r="Q34" s="167">
        <f>Q13+Q31</f>
        <v>-2426.7700000000041</v>
      </c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211"/>
      <c r="AF34" s="340" t="s">
        <v>142</v>
      </c>
      <c r="AH34" s="340">
        <v>0</v>
      </c>
    </row>
    <row r="35" spans="1:34" ht="15.75" x14ac:dyDescent="0.25">
      <c r="A35" s="76" t="s">
        <v>159</v>
      </c>
      <c r="B35" s="241" t="s">
        <v>48</v>
      </c>
      <c r="C35" s="233"/>
      <c r="D35" s="234"/>
      <c r="E35" s="233"/>
      <c r="F35" s="234"/>
      <c r="G35" s="235"/>
      <c r="H35" s="234"/>
      <c r="I35" s="346"/>
      <c r="J35" s="210"/>
      <c r="K35" s="20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211"/>
      <c r="AF35" s="340" t="s">
        <v>143</v>
      </c>
      <c r="AG35" s="340" t="s">
        <v>251</v>
      </c>
      <c r="AH35" s="342">
        <f>AH30-AH33</f>
        <v>3518.2112199999392</v>
      </c>
    </row>
    <row r="36" spans="1:34" ht="15.75" x14ac:dyDescent="0.25">
      <c r="A36" s="76" t="s">
        <v>160</v>
      </c>
      <c r="B36" s="241" t="s">
        <v>50</v>
      </c>
      <c r="C36" s="233"/>
      <c r="D36" s="234"/>
      <c r="E36" s="233"/>
      <c r="F36" s="234"/>
      <c r="G36" s="235"/>
      <c r="H36" s="234"/>
      <c r="I36" s="346"/>
      <c r="J36" s="210"/>
      <c r="K36" s="238" t="s">
        <v>247</v>
      </c>
      <c r="L36" s="115"/>
      <c r="M36" s="115"/>
      <c r="N36" s="167">
        <f>N34+N35</f>
        <v>-150271.19</v>
      </c>
      <c r="O36" s="167"/>
      <c r="P36" s="167"/>
      <c r="Q36" s="167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211"/>
    </row>
    <row r="37" spans="1:34" ht="15.75" x14ac:dyDescent="0.25">
      <c r="A37" s="216" t="s">
        <v>40</v>
      </c>
      <c r="B37" s="241" t="s">
        <v>52</v>
      </c>
      <c r="C37" s="233"/>
      <c r="D37" s="234"/>
      <c r="E37" s="233"/>
      <c r="F37" s="234"/>
      <c r="G37" s="235"/>
      <c r="H37" s="234"/>
      <c r="I37" s="346"/>
      <c r="J37" s="210"/>
      <c r="K37" s="370"/>
      <c r="L37" s="167"/>
      <c r="M37" s="245"/>
      <c r="N37" s="245"/>
      <c r="O37" s="245"/>
      <c r="P37" s="245"/>
      <c r="Q37" s="245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211"/>
    </row>
    <row r="38" spans="1:34" ht="15.75" x14ac:dyDescent="0.25">
      <c r="A38" s="216" t="s">
        <v>42</v>
      </c>
      <c r="B38" s="241" t="s">
        <v>53</v>
      </c>
      <c r="C38" s="233"/>
      <c r="D38" s="234"/>
      <c r="E38" s="233"/>
      <c r="F38" s="234"/>
      <c r="G38" s="235"/>
      <c r="H38" s="234"/>
      <c r="I38" s="346"/>
      <c r="J38" s="210"/>
      <c r="K38" s="370" t="s">
        <v>100</v>
      </c>
      <c r="L38" s="167">
        <f>18014.29+23400</f>
        <v>41414.29</v>
      </c>
      <c r="M38" s="115"/>
      <c r="N38" s="115"/>
      <c r="O38" s="115"/>
      <c r="P38" s="115"/>
      <c r="Q38" s="115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211"/>
      <c r="AF38" s="340" t="s">
        <v>144</v>
      </c>
    </row>
    <row r="39" spans="1:34" ht="15.75" x14ac:dyDescent="0.25">
      <c r="A39" s="216" t="s">
        <v>44</v>
      </c>
      <c r="B39" s="241" t="s">
        <v>54</v>
      </c>
      <c r="C39" s="233"/>
      <c r="D39" s="234"/>
      <c r="E39" s="233"/>
      <c r="F39" s="234"/>
      <c r="G39" s="235"/>
      <c r="H39" s="234"/>
      <c r="I39" s="346"/>
      <c r="J39" s="210"/>
      <c r="K39" s="131" t="s">
        <v>211</v>
      </c>
      <c r="L39" s="168">
        <v>6133.21</v>
      </c>
      <c r="M39" s="245"/>
      <c r="N39" s="245"/>
      <c r="O39" s="245"/>
      <c r="P39" s="245"/>
      <c r="Q39" s="245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211"/>
    </row>
    <row r="40" spans="1:34" ht="15.75" x14ac:dyDescent="0.25">
      <c r="A40" s="216" t="s">
        <v>45</v>
      </c>
      <c r="B40" s="241" t="s">
        <v>55</v>
      </c>
      <c r="C40" s="233"/>
      <c r="D40" s="234"/>
      <c r="E40" s="233"/>
      <c r="F40" s="234"/>
      <c r="G40" s="235"/>
      <c r="H40" s="234"/>
      <c r="I40" s="346"/>
      <c r="J40" s="246"/>
      <c r="K40" s="131" t="s">
        <v>218</v>
      </c>
      <c r="L40" s="372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211"/>
    </row>
    <row r="41" spans="1:34" ht="20.25" customHeight="1" x14ac:dyDescent="0.25">
      <c r="A41" s="216" t="s">
        <v>47</v>
      </c>
      <c r="B41" s="241" t="s">
        <v>57</v>
      </c>
      <c r="C41" s="233"/>
      <c r="D41" s="234"/>
      <c r="E41" s="233"/>
      <c r="F41" s="234"/>
      <c r="G41" s="235"/>
      <c r="H41" s="234"/>
      <c r="I41" s="346"/>
      <c r="J41" s="246"/>
      <c r="K41" s="155" t="s">
        <v>236</v>
      </c>
      <c r="L41" s="373">
        <v>6737.35</v>
      </c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4"/>
      <c r="Y41" s="114"/>
      <c r="Z41" s="114"/>
      <c r="AA41" s="114"/>
      <c r="AB41" s="114"/>
      <c r="AC41" s="236"/>
    </row>
    <row r="42" spans="1:34" ht="15.75" x14ac:dyDescent="0.25">
      <c r="A42" s="216"/>
      <c r="B42" s="241" t="s">
        <v>58</v>
      </c>
      <c r="C42" s="233"/>
      <c r="D42" s="234"/>
      <c r="E42" s="233"/>
      <c r="F42" s="234"/>
      <c r="G42" s="235"/>
      <c r="H42" s="234"/>
      <c r="I42" s="346"/>
      <c r="J42" s="210"/>
      <c r="K42" s="131" t="s">
        <v>222</v>
      </c>
      <c r="L42" s="168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211"/>
    </row>
    <row r="43" spans="1:34" ht="15.75" x14ac:dyDescent="0.25">
      <c r="A43" s="216"/>
      <c r="B43" s="241" t="s">
        <v>59</v>
      </c>
      <c r="C43" s="233"/>
      <c r="D43" s="234"/>
      <c r="E43" s="233"/>
      <c r="F43" s="234"/>
      <c r="G43" s="235"/>
      <c r="H43" s="234"/>
      <c r="I43" s="346"/>
      <c r="J43" s="210"/>
      <c r="K43" s="155" t="s">
        <v>223</v>
      </c>
      <c r="L43" s="169">
        <v>4180</v>
      </c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211"/>
    </row>
    <row r="44" spans="1:34" ht="15.75" x14ac:dyDescent="0.25">
      <c r="A44" s="216"/>
      <c r="B44" s="241" t="s">
        <v>61</v>
      </c>
      <c r="C44" s="233"/>
      <c r="D44" s="234"/>
      <c r="E44" s="233"/>
      <c r="F44" s="234"/>
      <c r="G44" s="235"/>
      <c r="H44" s="234"/>
      <c r="I44" s="346"/>
      <c r="J44" s="210"/>
      <c r="K44" s="131"/>
      <c r="L44" s="143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4"/>
      <c r="Y44" s="114"/>
      <c r="Z44" s="114"/>
      <c r="AA44" s="114"/>
      <c r="AB44" s="114"/>
      <c r="AC44" s="236"/>
    </row>
    <row r="45" spans="1:34" ht="15.75" x14ac:dyDescent="0.25">
      <c r="A45" s="216"/>
      <c r="B45" s="241" t="s">
        <v>62</v>
      </c>
      <c r="C45" s="233"/>
      <c r="D45" s="234"/>
      <c r="E45" s="233"/>
      <c r="F45" s="234"/>
      <c r="G45" s="235"/>
      <c r="H45" s="234"/>
      <c r="I45" s="346"/>
      <c r="J45" s="210"/>
      <c r="K45" s="371" t="s">
        <v>196</v>
      </c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211"/>
    </row>
    <row r="46" spans="1:34" ht="15.75" x14ac:dyDescent="0.25">
      <c r="A46" s="226"/>
      <c r="B46" s="227"/>
      <c r="C46" s="247"/>
      <c r="D46" s="248"/>
      <c r="E46" s="247"/>
      <c r="F46" s="248"/>
      <c r="G46" s="249"/>
      <c r="H46" s="248"/>
      <c r="I46" s="346"/>
      <c r="J46" s="210"/>
      <c r="K46" s="371" t="s">
        <v>197</v>
      </c>
      <c r="L46" s="167">
        <f>L38-L39-L41-L43</f>
        <v>24363.730000000003</v>
      </c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211"/>
    </row>
    <row r="47" spans="1:34" ht="15.75" x14ac:dyDescent="0.25">
      <c r="A47" s="250" t="s">
        <v>63</v>
      </c>
      <c r="B47" s="251" t="s">
        <v>64</v>
      </c>
      <c r="C47" s="230">
        <f>D47*8*12413.7</f>
        <v>143005.82399999999</v>
      </c>
      <c r="D47" s="240">
        <v>1.44</v>
      </c>
      <c r="E47" s="230">
        <f>F47*8*12413.7</f>
        <v>143005.82399999999</v>
      </c>
      <c r="F47" s="240">
        <v>1.44</v>
      </c>
      <c r="G47" s="232">
        <f>C47-E47</f>
        <v>0</v>
      </c>
      <c r="H47" s="240">
        <f>D47-F47</f>
        <v>0</v>
      </c>
      <c r="I47" s="348"/>
      <c r="J47" s="210"/>
      <c r="K47" s="371"/>
      <c r="L47" s="167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211"/>
    </row>
    <row r="48" spans="1:34" ht="15.75" x14ac:dyDescent="0.25">
      <c r="A48" s="79" t="s">
        <v>66</v>
      </c>
      <c r="B48" s="221" t="s">
        <v>67</v>
      </c>
      <c r="C48" s="252"/>
      <c r="D48" s="231" t="s">
        <v>3</v>
      </c>
      <c r="E48" s="252"/>
      <c r="F48" s="231" t="s">
        <v>3</v>
      </c>
      <c r="G48" s="253"/>
      <c r="H48" s="231" t="s">
        <v>3</v>
      </c>
      <c r="I48" s="346"/>
      <c r="J48" s="210"/>
      <c r="K48" s="238" t="s">
        <v>65</v>
      </c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4"/>
      <c r="Y48" s="114"/>
      <c r="Z48" s="114"/>
      <c r="AA48" s="114"/>
      <c r="AB48" s="114"/>
      <c r="AC48" s="211"/>
    </row>
    <row r="49" spans="1:29" ht="16.5" thickBot="1" x14ac:dyDescent="0.3">
      <c r="A49" s="79" t="s">
        <v>38</v>
      </c>
      <c r="B49" s="221" t="s">
        <v>68</v>
      </c>
      <c r="C49" s="252"/>
      <c r="D49" s="231"/>
      <c r="E49" s="252"/>
      <c r="F49" s="231"/>
      <c r="G49" s="253"/>
      <c r="H49" s="231"/>
      <c r="I49" s="346"/>
      <c r="J49" s="254"/>
      <c r="K49" s="255" t="s">
        <v>151</v>
      </c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6"/>
      <c r="Y49" s="256"/>
      <c r="Z49" s="256"/>
      <c r="AA49" s="256"/>
      <c r="AB49" s="256"/>
      <c r="AC49" s="257"/>
    </row>
    <row r="50" spans="1:29" ht="15.75" x14ac:dyDescent="0.25">
      <c r="A50" s="79"/>
      <c r="B50" s="221"/>
      <c r="C50" s="252"/>
      <c r="D50" s="231"/>
      <c r="E50" s="252"/>
      <c r="F50" s="231"/>
      <c r="G50" s="253"/>
      <c r="H50" s="231"/>
      <c r="I50" s="346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9"/>
      <c r="Y50" s="149"/>
      <c r="Z50" s="149"/>
      <c r="AA50" s="149"/>
      <c r="AB50" s="149"/>
      <c r="AC50" s="148"/>
    </row>
    <row r="51" spans="1:29" ht="15.75" x14ac:dyDescent="0.25">
      <c r="A51" s="250" t="s">
        <v>69</v>
      </c>
      <c r="B51" s="251" t="s">
        <v>70</v>
      </c>
      <c r="C51" s="230">
        <f>D51*8*12413.7</f>
        <v>32772.168000000005</v>
      </c>
      <c r="D51" s="240">
        <v>0.33</v>
      </c>
      <c r="E51" s="230">
        <f>F51*8*12413.7</f>
        <v>32772.168000000005</v>
      </c>
      <c r="F51" s="240">
        <v>0.33</v>
      </c>
      <c r="G51" s="232">
        <f>C51-E51</f>
        <v>0</v>
      </c>
      <c r="H51" s="240">
        <f>D51-F51</f>
        <v>0</v>
      </c>
      <c r="I51" s="348"/>
      <c r="K51" s="148" t="s">
        <v>3</v>
      </c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9"/>
      <c r="Y51" s="149"/>
      <c r="Z51" s="149"/>
      <c r="AA51" s="149"/>
      <c r="AB51" s="148"/>
      <c r="AC51" s="148"/>
    </row>
    <row r="52" spans="1:29" ht="15.75" x14ac:dyDescent="0.25">
      <c r="A52" s="79" t="s">
        <v>71</v>
      </c>
      <c r="B52" s="221"/>
      <c r="C52" s="252"/>
      <c r="D52" s="231"/>
      <c r="E52" s="252"/>
      <c r="F52" s="231"/>
      <c r="G52" s="253"/>
      <c r="H52" s="231"/>
      <c r="I52" s="346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</row>
    <row r="53" spans="1:29" ht="15.75" x14ac:dyDescent="0.25">
      <c r="A53" s="258" t="s">
        <v>72</v>
      </c>
      <c r="B53" s="259"/>
      <c r="C53" s="260"/>
      <c r="D53" s="261"/>
      <c r="E53" s="260"/>
      <c r="F53" s="261"/>
      <c r="G53" s="130"/>
      <c r="H53" s="261"/>
      <c r="I53" s="348"/>
      <c r="K53" s="338" t="s">
        <v>257</v>
      </c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</row>
    <row r="54" spans="1:29" ht="15.75" x14ac:dyDescent="0.25">
      <c r="A54" s="79" t="s">
        <v>164</v>
      </c>
      <c r="B54" s="221" t="s">
        <v>90</v>
      </c>
      <c r="C54" s="230">
        <f>D54*8*12413.7</f>
        <v>639553.82400000002</v>
      </c>
      <c r="D54" s="231">
        <v>6.44</v>
      </c>
      <c r="E54" s="230">
        <v>603678.23</v>
      </c>
      <c r="F54" s="231">
        <f>E54/8/B15</f>
        <v>6.0787499899304791</v>
      </c>
      <c r="G54" s="232">
        <f>C54-E54</f>
        <v>35875.594000000041</v>
      </c>
      <c r="H54" s="240">
        <f>D54-F54</f>
        <v>0.36125001006952129</v>
      </c>
      <c r="I54" s="346" t="s">
        <v>139</v>
      </c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</row>
    <row r="55" spans="1:29" ht="15.75" x14ac:dyDescent="0.25">
      <c r="A55" s="79" t="s">
        <v>161</v>
      </c>
      <c r="B55" s="221" t="s">
        <v>91</v>
      </c>
      <c r="C55" s="252"/>
      <c r="D55" s="231"/>
      <c r="E55" s="252"/>
      <c r="F55" s="231"/>
      <c r="G55" s="253"/>
      <c r="H55" s="231"/>
      <c r="I55" s="348">
        <f>'[1]янв-апр 2024'!G54+'[1]май-дек 2024'!G54</f>
        <v>620.68600000004517</v>
      </c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</row>
    <row r="56" spans="1:29" ht="15.75" x14ac:dyDescent="0.25">
      <c r="A56" s="79" t="s">
        <v>162</v>
      </c>
      <c r="B56" s="221" t="s">
        <v>101</v>
      </c>
      <c r="C56" s="233"/>
      <c r="D56" s="234"/>
      <c r="E56" s="233"/>
      <c r="F56" s="234"/>
      <c r="G56" s="235"/>
      <c r="H56" s="234"/>
      <c r="I56" s="346" t="s">
        <v>237</v>
      </c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9"/>
      <c r="Y56" s="149"/>
      <c r="Z56" s="149"/>
      <c r="AA56" s="149"/>
      <c r="AB56" s="149"/>
      <c r="AC56" s="149"/>
    </row>
    <row r="57" spans="1:29" ht="15.75" x14ac:dyDescent="0.25">
      <c r="A57" s="79" t="s">
        <v>163</v>
      </c>
      <c r="B57" s="221" t="s">
        <v>102</v>
      </c>
      <c r="C57" s="233"/>
      <c r="D57" s="234"/>
      <c r="E57" s="233"/>
      <c r="F57" s="234"/>
      <c r="G57" s="235"/>
      <c r="H57" s="234"/>
      <c r="I57" s="349" t="s">
        <v>238</v>
      </c>
      <c r="K57" s="149"/>
      <c r="L57" s="308"/>
      <c r="X57" s="149"/>
      <c r="Y57" s="149"/>
      <c r="Z57" s="149"/>
      <c r="AA57" s="149"/>
    </row>
    <row r="58" spans="1:29" x14ac:dyDescent="0.25">
      <c r="A58" s="216" t="s">
        <v>40</v>
      </c>
      <c r="B58" s="221" t="s">
        <v>92</v>
      </c>
      <c r="C58" s="233"/>
      <c r="D58" s="234"/>
      <c r="E58" s="233"/>
      <c r="F58" s="234"/>
      <c r="G58" s="235"/>
      <c r="H58" s="234"/>
      <c r="I58" s="346"/>
      <c r="K58" s="308"/>
      <c r="L58" s="308"/>
    </row>
    <row r="59" spans="1:29" x14ac:dyDescent="0.25">
      <c r="A59" s="216" t="s">
        <v>42</v>
      </c>
      <c r="B59" s="221" t="s">
        <v>93</v>
      </c>
      <c r="C59" s="233"/>
      <c r="D59" s="234"/>
      <c r="E59" s="233"/>
      <c r="F59" s="234"/>
      <c r="G59" s="235"/>
      <c r="H59" s="234"/>
      <c r="I59" s="346"/>
    </row>
    <row r="60" spans="1:29" ht="15.75" x14ac:dyDescent="0.25">
      <c r="A60" s="216" t="s">
        <v>44</v>
      </c>
      <c r="B60" s="221" t="s">
        <v>94</v>
      </c>
      <c r="C60" s="233"/>
      <c r="D60" s="234"/>
      <c r="E60" s="233"/>
      <c r="F60" s="234"/>
      <c r="G60" s="235"/>
      <c r="H60" s="234"/>
      <c r="I60" s="348"/>
      <c r="K60" s="148" t="s">
        <v>3</v>
      </c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9"/>
      <c r="Y60" s="149"/>
      <c r="Z60" s="149"/>
      <c r="AA60" s="149"/>
      <c r="AB60" s="148"/>
      <c r="AC60" s="148"/>
    </row>
    <row r="61" spans="1:29" ht="15.75" x14ac:dyDescent="0.25">
      <c r="A61" s="216" t="s">
        <v>45</v>
      </c>
      <c r="B61" s="221" t="s">
        <v>95</v>
      </c>
      <c r="C61" s="233"/>
      <c r="D61" s="234"/>
      <c r="E61" s="233"/>
      <c r="F61" s="234"/>
      <c r="G61" s="235"/>
      <c r="H61" s="234"/>
      <c r="I61" s="3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</row>
    <row r="62" spans="1:29" ht="15.75" x14ac:dyDescent="0.25">
      <c r="A62" s="216" t="s">
        <v>47</v>
      </c>
      <c r="B62" s="221" t="s">
        <v>96</v>
      </c>
      <c r="C62" s="233"/>
      <c r="D62" s="234"/>
      <c r="E62" s="233"/>
      <c r="F62" s="234"/>
      <c r="G62" s="235"/>
      <c r="H62" s="234"/>
      <c r="I62" s="3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</row>
    <row r="63" spans="1:29" ht="15.75" x14ac:dyDescent="0.25">
      <c r="A63" s="216"/>
      <c r="B63" s="221" t="s">
        <v>97</v>
      </c>
      <c r="C63" s="233"/>
      <c r="D63" s="234"/>
      <c r="E63" s="233"/>
      <c r="F63" s="234"/>
      <c r="G63" s="235"/>
      <c r="H63" s="234"/>
      <c r="I63" s="3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</row>
    <row r="64" spans="1:29" ht="15.75" x14ac:dyDescent="0.25">
      <c r="A64" s="216"/>
      <c r="B64" s="221" t="s">
        <v>98</v>
      </c>
      <c r="C64" s="233"/>
      <c r="D64" s="234"/>
      <c r="E64" s="233"/>
      <c r="F64" s="234"/>
      <c r="G64" s="235"/>
      <c r="H64" s="234"/>
      <c r="I64" s="3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</row>
    <row r="65" spans="1:30" ht="15.75" x14ac:dyDescent="0.25">
      <c r="A65" s="250" t="s">
        <v>168</v>
      </c>
      <c r="B65" s="251" t="s">
        <v>73</v>
      </c>
      <c r="C65" s="230">
        <f>D65*8*12413.7</f>
        <v>784545.84000000008</v>
      </c>
      <c r="D65" s="240">
        <v>7.9</v>
      </c>
      <c r="E65" s="230">
        <f>F65*8*12413.7</f>
        <v>784545.84000000008</v>
      </c>
      <c r="F65" s="240">
        <v>7.9</v>
      </c>
      <c r="G65" s="232">
        <f>C65-E65</f>
        <v>0</v>
      </c>
      <c r="H65" s="240">
        <f>D65-F65</f>
        <v>0</v>
      </c>
      <c r="I65" s="348">
        <f>'[1]янв-апр 2024'!G65+'[1]май-дек 2024'!G65</f>
        <v>-47172.060000000027</v>
      </c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9"/>
      <c r="Y65" s="149"/>
      <c r="Z65" s="149"/>
      <c r="AA65" s="149"/>
      <c r="AB65" s="149"/>
      <c r="AC65" s="149"/>
    </row>
    <row r="66" spans="1:30" ht="15.75" x14ac:dyDescent="0.25">
      <c r="A66" s="79" t="s">
        <v>165</v>
      </c>
      <c r="B66" s="221" t="s">
        <v>74</v>
      </c>
      <c r="C66" s="252"/>
      <c r="D66" s="231"/>
      <c r="E66" s="252"/>
      <c r="F66" s="231"/>
      <c r="G66" s="253"/>
      <c r="H66" s="231"/>
      <c r="I66" s="348" t="s">
        <v>153</v>
      </c>
      <c r="K66" s="149"/>
      <c r="L66" s="308"/>
      <c r="X66" s="149"/>
      <c r="Y66" s="149"/>
      <c r="Z66" s="149"/>
      <c r="AA66" s="149"/>
    </row>
    <row r="67" spans="1:30" x14ac:dyDescent="0.25">
      <c r="A67" s="79" t="s">
        <v>166</v>
      </c>
      <c r="B67" s="221" t="s">
        <v>75</v>
      </c>
      <c r="C67" s="252"/>
      <c r="D67" s="231"/>
      <c r="E67" s="252"/>
      <c r="F67" s="231"/>
      <c r="G67" s="253"/>
      <c r="H67" s="231"/>
      <c r="I67" s="348"/>
      <c r="K67" s="308"/>
      <c r="L67" s="308"/>
    </row>
    <row r="68" spans="1:30" x14ac:dyDescent="0.25">
      <c r="A68" s="79" t="s">
        <v>167</v>
      </c>
      <c r="B68" s="221"/>
      <c r="C68" s="233"/>
      <c r="D68" s="234"/>
      <c r="E68" s="233"/>
      <c r="F68" s="234"/>
      <c r="G68" s="235"/>
      <c r="H68" s="234"/>
      <c r="I68" s="348"/>
    </row>
    <row r="69" spans="1:30" x14ac:dyDescent="0.25">
      <c r="A69" s="262" t="s">
        <v>77</v>
      </c>
      <c r="B69" s="251" t="s">
        <v>111</v>
      </c>
      <c r="C69" s="263"/>
      <c r="D69" s="264"/>
      <c r="E69" s="263"/>
      <c r="F69" s="264"/>
      <c r="G69" s="265"/>
      <c r="H69" s="264"/>
      <c r="I69" s="348"/>
    </row>
    <row r="70" spans="1:30" x14ac:dyDescent="0.25">
      <c r="A70" s="266" t="s">
        <v>76</v>
      </c>
      <c r="B70" s="221" t="s">
        <v>112</v>
      </c>
      <c r="C70" s="233"/>
      <c r="D70" s="234"/>
      <c r="E70" s="233"/>
      <c r="F70" s="234"/>
      <c r="G70" s="235"/>
      <c r="H70" s="234"/>
      <c r="I70" s="346"/>
    </row>
    <row r="71" spans="1:30" x14ac:dyDescent="0.25">
      <c r="A71" s="267" t="s">
        <v>113</v>
      </c>
      <c r="B71" s="221" t="s">
        <v>114</v>
      </c>
      <c r="C71" s="233"/>
      <c r="D71" s="234"/>
      <c r="E71" s="233"/>
      <c r="F71" s="234"/>
      <c r="G71" s="235"/>
      <c r="H71" s="234"/>
      <c r="I71" s="346"/>
      <c r="J71" s="312"/>
      <c r="K71" s="312"/>
      <c r="L71" s="312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2"/>
      <c r="AC71" s="312"/>
      <c r="AD71" s="359"/>
    </row>
    <row r="72" spans="1:30" x14ac:dyDescent="0.25">
      <c r="A72" s="216"/>
      <c r="B72" s="221" t="s">
        <v>115</v>
      </c>
      <c r="C72" s="233"/>
      <c r="D72" s="234"/>
      <c r="E72" s="233"/>
      <c r="F72" s="234"/>
      <c r="G72" s="235"/>
      <c r="H72" s="234"/>
      <c r="I72" s="346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59"/>
    </row>
    <row r="73" spans="1:30" ht="15.75" x14ac:dyDescent="0.25">
      <c r="A73" s="216"/>
      <c r="B73" s="221" t="s">
        <v>116</v>
      </c>
      <c r="C73" s="233"/>
      <c r="D73" s="234"/>
      <c r="E73" s="233"/>
      <c r="F73" s="234"/>
      <c r="G73" s="235"/>
      <c r="H73" s="234"/>
      <c r="I73" s="346"/>
      <c r="J73" s="154"/>
      <c r="K73" s="153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207"/>
      <c r="Y73" s="207"/>
      <c r="Z73" s="207"/>
      <c r="AA73" s="207"/>
      <c r="AB73" s="207"/>
      <c r="AC73" s="207"/>
      <c r="AD73" s="359"/>
    </row>
    <row r="74" spans="1:30" ht="15.75" x14ac:dyDescent="0.25">
      <c r="A74" s="216"/>
      <c r="B74" s="221" t="s">
        <v>117</v>
      </c>
      <c r="C74" s="233"/>
      <c r="D74" s="234"/>
      <c r="E74" s="233"/>
      <c r="F74" s="234"/>
      <c r="G74" s="235"/>
      <c r="H74" s="234"/>
      <c r="I74" s="348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207"/>
      <c r="Y74" s="207"/>
      <c r="Z74" s="207"/>
      <c r="AA74" s="207"/>
      <c r="AB74" s="207"/>
      <c r="AC74" s="207"/>
      <c r="AD74" s="359"/>
    </row>
    <row r="75" spans="1:30" ht="15.75" x14ac:dyDescent="0.25">
      <c r="A75" s="216"/>
      <c r="B75" s="221" t="s">
        <v>118</v>
      </c>
      <c r="C75" s="233"/>
      <c r="D75" s="234"/>
      <c r="E75" s="233"/>
      <c r="F75" s="234"/>
      <c r="G75" s="235"/>
      <c r="H75" s="234"/>
      <c r="I75" s="346"/>
      <c r="J75" s="312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207"/>
      <c r="Y75" s="207"/>
      <c r="Z75" s="207"/>
      <c r="AA75" s="207"/>
      <c r="AB75" s="207"/>
      <c r="AC75" s="154"/>
      <c r="AD75" s="359"/>
    </row>
    <row r="76" spans="1:30" ht="15.75" x14ac:dyDescent="0.25">
      <c r="A76" s="216"/>
      <c r="B76" s="221" t="s">
        <v>119</v>
      </c>
      <c r="C76" s="233"/>
      <c r="D76" s="234"/>
      <c r="E76" s="233"/>
      <c r="F76" s="234"/>
      <c r="G76" s="235"/>
      <c r="H76" s="234"/>
      <c r="I76" s="346"/>
      <c r="J76" s="312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207"/>
      <c r="Y76" s="207"/>
      <c r="Z76" s="207"/>
      <c r="AA76" s="207"/>
      <c r="AB76" s="154"/>
      <c r="AC76" s="154"/>
      <c r="AD76" s="359"/>
    </row>
    <row r="77" spans="1:30" ht="15.75" x14ac:dyDescent="0.25">
      <c r="A77" s="216"/>
      <c r="B77" s="221" t="s">
        <v>120</v>
      </c>
      <c r="C77" s="233"/>
      <c r="D77" s="234"/>
      <c r="E77" s="233"/>
      <c r="F77" s="234"/>
      <c r="G77" s="235"/>
      <c r="H77" s="234"/>
      <c r="I77" s="346"/>
      <c r="J77" s="312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359"/>
    </row>
    <row r="78" spans="1:30" ht="15.75" x14ac:dyDescent="0.25">
      <c r="A78" s="216"/>
      <c r="B78" s="221" t="s">
        <v>121</v>
      </c>
      <c r="C78" s="233"/>
      <c r="D78" s="234"/>
      <c r="E78" s="233"/>
      <c r="F78" s="234"/>
      <c r="G78" s="235"/>
      <c r="H78" s="234"/>
      <c r="I78" s="346"/>
      <c r="J78" s="312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359"/>
    </row>
    <row r="79" spans="1:30" ht="15.75" x14ac:dyDescent="0.25">
      <c r="A79" s="216"/>
      <c r="B79" s="221" t="s">
        <v>122</v>
      </c>
      <c r="C79" s="233"/>
      <c r="D79" s="234"/>
      <c r="E79" s="233"/>
      <c r="F79" s="234"/>
      <c r="G79" s="235"/>
      <c r="H79" s="234"/>
      <c r="I79" s="346"/>
      <c r="J79" s="312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207"/>
      <c r="Y79" s="207"/>
      <c r="Z79" s="207"/>
      <c r="AA79" s="207"/>
      <c r="AB79" s="207"/>
      <c r="AC79" s="207"/>
      <c r="AD79" s="359"/>
    </row>
    <row r="80" spans="1:30" ht="15.75" x14ac:dyDescent="0.25">
      <c r="A80" s="216"/>
      <c r="B80" s="221" t="s">
        <v>123</v>
      </c>
      <c r="C80" s="233"/>
      <c r="D80" s="234"/>
      <c r="E80" s="233"/>
      <c r="F80" s="234"/>
      <c r="G80" s="235"/>
      <c r="H80" s="234"/>
      <c r="I80" s="346"/>
      <c r="J80" s="312"/>
      <c r="K80" s="154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207"/>
      <c r="Y80" s="207"/>
      <c r="Z80" s="207"/>
      <c r="AA80" s="207"/>
      <c r="AB80" s="207"/>
      <c r="AC80" s="312"/>
      <c r="AD80" s="359"/>
    </row>
    <row r="81" spans="1:30" ht="15.75" x14ac:dyDescent="0.25">
      <c r="A81" s="216"/>
      <c r="B81" s="221" t="s">
        <v>124</v>
      </c>
      <c r="C81" s="233"/>
      <c r="D81" s="234"/>
      <c r="E81" s="233"/>
      <c r="F81" s="234"/>
      <c r="G81" s="235"/>
      <c r="H81" s="234"/>
      <c r="I81" s="346"/>
      <c r="J81" s="312"/>
      <c r="K81" s="154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207"/>
      <c r="Y81" s="207"/>
      <c r="Z81" s="207"/>
      <c r="AA81" s="207"/>
      <c r="AB81" s="312"/>
      <c r="AC81" s="312"/>
      <c r="AD81" s="359"/>
    </row>
    <row r="82" spans="1:30" x14ac:dyDescent="0.25">
      <c r="A82" s="226"/>
      <c r="B82" s="259"/>
      <c r="C82" s="247"/>
      <c r="D82" s="248"/>
      <c r="E82" s="247"/>
      <c r="F82" s="248"/>
      <c r="G82" s="249"/>
      <c r="H82" s="248"/>
      <c r="I82" s="346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59"/>
    </row>
    <row r="83" spans="1:30" x14ac:dyDescent="0.25">
      <c r="A83" s="268" t="s">
        <v>78</v>
      </c>
      <c r="B83" s="251" t="s">
        <v>79</v>
      </c>
      <c r="C83" s="263"/>
      <c r="D83" s="264"/>
      <c r="E83" s="263"/>
      <c r="F83" s="264"/>
      <c r="G83" s="265"/>
      <c r="H83" s="264"/>
      <c r="I83" s="346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59"/>
    </row>
    <row r="84" spans="1:30" x14ac:dyDescent="0.25">
      <c r="A84" s="216" t="s">
        <v>76</v>
      </c>
      <c r="B84" s="221" t="s">
        <v>125</v>
      </c>
      <c r="C84" s="233"/>
      <c r="D84" s="234"/>
      <c r="E84" s="233"/>
      <c r="F84" s="234"/>
      <c r="G84" s="235"/>
      <c r="H84" s="234"/>
      <c r="I84" s="346"/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2"/>
      <c r="V84" s="312"/>
      <c r="W84" s="312"/>
      <c r="X84" s="312"/>
      <c r="Y84" s="312"/>
      <c r="Z84" s="312"/>
      <c r="AA84" s="312"/>
      <c r="AB84" s="312"/>
      <c r="AC84" s="312"/>
      <c r="AD84" s="359"/>
    </row>
    <row r="85" spans="1:30" x14ac:dyDescent="0.25">
      <c r="A85" s="216" t="s">
        <v>126</v>
      </c>
      <c r="B85" s="221" t="s">
        <v>127</v>
      </c>
      <c r="C85" s="233"/>
      <c r="D85" s="234"/>
      <c r="E85" s="233"/>
      <c r="F85" s="234"/>
      <c r="G85" s="235"/>
      <c r="H85" s="234"/>
      <c r="I85" s="346"/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12"/>
      <c r="AB85" s="312"/>
      <c r="AC85" s="312"/>
      <c r="AD85" s="359"/>
    </row>
    <row r="86" spans="1:30" x14ac:dyDescent="0.25">
      <c r="A86" s="216"/>
      <c r="B86" s="221" t="s">
        <v>128</v>
      </c>
      <c r="C86" s="233"/>
      <c r="D86" s="234"/>
      <c r="E86" s="233"/>
      <c r="F86" s="234"/>
      <c r="G86" s="235"/>
      <c r="H86" s="234"/>
      <c r="I86" s="346"/>
    </row>
    <row r="87" spans="1:30" x14ac:dyDescent="0.25">
      <c r="A87" s="216"/>
      <c r="B87" s="221" t="s">
        <v>129</v>
      </c>
      <c r="C87" s="233"/>
      <c r="D87" s="234"/>
      <c r="E87" s="233"/>
      <c r="F87" s="234"/>
      <c r="G87" s="235"/>
      <c r="H87" s="234"/>
      <c r="I87" s="346"/>
    </row>
    <row r="88" spans="1:30" x14ac:dyDescent="0.25">
      <c r="A88" s="216"/>
      <c r="B88" s="221" t="s">
        <v>130</v>
      </c>
      <c r="C88" s="233"/>
      <c r="D88" s="234"/>
      <c r="E88" s="233"/>
      <c r="F88" s="234"/>
      <c r="G88" s="235"/>
      <c r="H88" s="234"/>
      <c r="I88" s="346"/>
    </row>
    <row r="89" spans="1:30" x14ac:dyDescent="0.25">
      <c r="A89" s="216"/>
      <c r="B89" s="221" t="s">
        <v>131</v>
      </c>
      <c r="C89" s="233"/>
      <c r="D89" s="234"/>
      <c r="E89" s="233"/>
      <c r="F89" s="234"/>
      <c r="G89" s="235"/>
      <c r="H89" s="234"/>
      <c r="I89" s="348"/>
      <c r="J89" s="340"/>
      <c r="K89" s="340"/>
      <c r="L89" s="340"/>
      <c r="M89" s="340"/>
      <c r="N89" s="340"/>
      <c r="O89" s="340"/>
    </row>
    <row r="90" spans="1:30" x14ac:dyDescent="0.25">
      <c r="A90" s="216"/>
      <c r="B90" s="221" t="s">
        <v>132</v>
      </c>
      <c r="C90" s="233"/>
      <c r="D90" s="234"/>
      <c r="E90" s="233"/>
      <c r="F90" s="234"/>
      <c r="G90" s="235"/>
      <c r="H90" s="234"/>
      <c r="I90" s="346"/>
      <c r="J90" s="340"/>
      <c r="K90" s="340"/>
      <c r="L90" s="340"/>
      <c r="M90" s="340"/>
      <c r="N90" s="340"/>
      <c r="O90" s="340"/>
    </row>
    <row r="91" spans="1:30" x14ac:dyDescent="0.25">
      <c r="A91" s="226"/>
      <c r="B91" s="259"/>
      <c r="C91" s="247"/>
      <c r="D91" s="248"/>
      <c r="E91" s="247"/>
      <c r="F91" s="248"/>
      <c r="G91" s="249"/>
      <c r="H91" s="248"/>
      <c r="I91" s="346"/>
      <c r="J91" s="340"/>
      <c r="K91" s="340"/>
      <c r="L91" s="340"/>
      <c r="M91" s="340"/>
      <c r="N91" s="340"/>
      <c r="O91" s="340"/>
    </row>
    <row r="92" spans="1:30" x14ac:dyDescent="0.25">
      <c r="A92" s="250" t="s">
        <v>145</v>
      </c>
      <c r="B92" s="251" t="s">
        <v>83</v>
      </c>
      <c r="C92" s="230">
        <f>D92*8*12413.7</f>
        <v>255225.67199999999</v>
      </c>
      <c r="D92" s="269">
        <v>2.57</v>
      </c>
      <c r="E92" s="230">
        <v>228447.34</v>
      </c>
      <c r="F92" s="231">
        <f>E92/8/B15</f>
        <v>2.3003550512739954</v>
      </c>
      <c r="G92" s="232">
        <f>C92-E92</f>
        <v>26778.331999999995</v>
      </c>
      <c r="H92" s="240">
        <f>D92-F92</f>
        <v>0.26964494872600442</v>
      </c>
      <c r="I92" s="348" t="s">
        <v>139</v>
      </c>
      <c r="J92" s="340"/>
      <c r="K92" s="341"/>
      <c r="L92" s="340"/>
      <c r="M92" s="340"/>
      <c r="N92" s="340"/>
      <c r="O92" s="340"/>
    </row>
    <row r="93" spans="1:30" x14ac:dyDescent="0.25">
      <c r="A93" s="79"/>
      <c r="B93" s="221"/>
      <c r="C93" s="233"/>
      <c r="D93" s="234"/>
      <c r="E93" s="233"/>
      <c r="F93" s="234"/>
      <c r="G93" s="235"/>
      <c r="H93" s="234"/>
      <c r="I93" s="346"/>
      <c r="J93" s="340"/>
      <c r="K93" s="340"/>
      <c r="L93" s="340"/>
      <c r="M93" s="340"/>
      <c r="N93" s="340"/>
      <c r="O93" s="340"/>
    </row>
    <row r="94" spans="1:30" x14ac:dyDescent="0.25">
      <c r="A94" s="250" t="s">
        <v>148</v>
      </c>
      <c r="B94" s="251" t="s">
        <v>133</v>
      </c>
      <c r="C94" s="230">
        <f>D94*8*12413.7</f>
        <v>12910.248000000001</v>
      </c>
      <c r="D94" s="269">
        <v>0.13</v>
      </c>
      <c r="E94" s="230">
        <v>5605.2</v>
      </c>
      <c r="F94" s="269">
        <f>E94/8/B15</f>
        <v>5.6441673312549838E-2</v>
      </c>
      <c r="G94" s="232">
        <f>C94-E94</f>
        <v>7305.0480000000016</v>
      </c>
      <c r="H94" s="240">
        <f>D94-F94</f>
        <v>7.355832668745016E-2</v>
      </c>
      <c r="I94" s="346" t="s">
        <v>140</v>
      </c>
      <c r="J94" s="340"/>
      <c r="K94" s="341"/>
      <c r="L94" s="340"/>
      <c r="M94" s="340"/>
      <c r="N94" s="340"/>
      <c r="O94" s="340"/>
    </row>
    <row r="95" spans="1:30" x14ac:dyDescent="0.25">
      <c r="A95" s="258" t="s">
        <v>134</v>
      </c>
      <c r="B95" s="259" t="s">
        <v>135</v>
      </c>
      <c r="C95" s="260"/>
      <c r="D95" s="270"/>
      <c r="E95" s="260"/>
      <c r="F95" s="261"/>
      <c r="G95" s="249"/>
      <c r="H95" s="248"/>
      <c r="I95" s="348"/>
      <c r="J95" s="340"/>
      <c r="K95" s="340"/>
      <c r="L95" s="340"/>
      <c r="M95" s="340"/>
      <c r="N95" s="340"/>
      <c r="O95" s="340"/>
    </row>
    <row r="96" spans="1:30" x14ac:dyDescent="0.25">
      <c r="A96" s="79" t="s">
        <v>170</v>
      </c>
      <c r="B96" s="251" t="s">
        <v>70</v>
      </c>
      <c r="C96" s="252">
        <f>D96*8*12413.7</f>
        <v>10924.056</v>
      </c>
      <c r="D96" s="271">
        <v>0.11</v>
      </c>
      <c r="E96" s="252">
        <v>14.13</v>
      </c>
      <c r="F96" s="231">
        <f>E96/8/B15</f>
        <v>1.4228231711737837E-4</v>
      </c>
      <c r="G96" s="253">
        <f>C96-E96</f>
        <v>10909.926000000001</v>
      </c>
      <c r="H96" s="231">
        <f>D96-F96</f>
        <v>0.10985771768288262</v>
      </c>
      <c r="I96" s="346" t="s">
        <v>140</v>
      </c>
      <c r="J96" s="340"/>
      <c r="K96" s="341"/>
      <c r="L96" s="340"/>
      <c r="M96" s="340"/>
      <c r="N96" s="340"/>
      <c r="O96" s="340"/>
    </row>
    <row r="97" spans="1:17" x14ac:dyDescent="0.25">
      <c r="A97" s="79" t="s">
        <v>169</v>
      </c>
      <c r="B97" s="221"/>
      <c r="C97" s="252"/>
      <c r="D97" s="271"/>
      <c r="E97" s="252"/>
      <c r="F97" s="231"/>
      <c r="G97" s="235"/>
      <c r="H97" s="234"/>
      <c r="I97" s="346"/>
      <c r="J97" s="340"/>
      <c r="K97" s="340"/>
      <c r="L97" s="340"/>
      <c r="M97" s="340"/>
      <c r="N97" s="340"/>
      <c r="O97" s="340"/>
    </row>
    <row r="98" spans="1:17" x14ac:dyDescent="0.25">
      <c r="A98" s="250" t="s">
        <v>146</v>
      </c>
      <c r="B98" s="251" t="s">
        <v>70</v>
      </c>
      <c r="C98" s="230">
        <f>D98*8*12413.7</f>
        <v>20855.016</v>
      </c>
      <c r="D98" s="272">
        <v>0.21</v>
      </c>
      <c r="E98" s="230">
        <f>F98*8*B15</f>
        <v>20855.016</v>
      </c>
      <c r="F98" s="240">
        <v>0.21</v>
      </c>
      <c r="G98" s="232">
        <f>C98-E98</f>
        <v>0</v>
      </c>
      <c r="H98" s="240">
        <f>D98-F98</f>
        <v>0</v>
      </c>
      <c r="I98" s="348"/>
      <c r="J98" s="340"/>
      <c r="K98" s="341"/>
      <c r="L98" s="340"/>
      <c r="M98" s="340"/>
      <c r="N98" s="340"/>
      <c r="O98" s="340"/>
    </row>
    <row r="99" spans="1:17" x14ac:dyDescent="0.25">
      <c r="A99" s="258" t="s">
        <v>136</v>
      </c>
      <c r="B99" s="259"/>
      <c r="C99" s="260"/>
      <c r="D99" s="270"/>
      <c r="E99" s="260"/>
      <c r="F99" s="261"/>
      <c r="G99" s="249"/>
      <c r="H99" s="248"/>
      <c r="I99" s="346"/>
      <c r="J99" s="340"/>
      <c r="K99" s="340"/>
      <c r="L99" s="340"/>
      <c r="M99" s="340"/>
      <c r="N99" s="340"/>
      <c r="O99" s="340"/>
    </row>
    <row r="100" spans="1:17" x14ac:dyDescent="0.25">
      <c r="A100" s="79" t="s">
        <v>147</v>
      </c>
      <c r="B100" s="251" t="s">
        <v>70</v>
      </c>
      <c r="C100" s="230">
        <f>D100*8*12413.7</f>
        <v>14896.44</v>
      </c>
      <c r="D100" s="273">
        <v>0.15</v>
      </c>
      <c r="E100" s="252">
        <f>F100*8*B15</f>
        <v>14896.44</v>
      </c>
      <c r="F100" s="231">
        <v>0.15</v>
      </c>
      <c r="G100" s="232">
        <f>C100-E100</f>
        <v>0</v>
      </c>
      <c r="H100" s="240">
        <f>D100-F100</f>
        <v>0</v>
      </c>
      <c r="I100" s="346"/>
      <c r="J100" s="340"/>
      <c r="K100" s="340"/>
      <c r="L100" s="340"/>
      <c r="M100" s="340"/>
      <c r="N100" s="340"/>
      <c r="O100" s="340"/>
    </row>
    <row r="101" spans="1:17" x14ac:dyDescent="0.25">
      <c r="A101" s="79" t="s">
        <v>137</v>
      </c>
      <c r="B101" s="221"/>
      <c r="C101" s="252"/>
      <c r="D101" s="273"/>
      <c r="E101" s="252"/>
      <c r="F101" s="231"/>
      <c r="G101" s="249"/>
      <c r="H101" s="248"/>
      <c r="I101" s="348"/>
      <c r="J101" s="340"/>
      <c r="K101" s="341"/>
      <c r="L101" s="340"/>
      <c r="M101" s="340"/>
      <c r="N101" s="340"/>
      <c r="O101" s="340"/>
    </row>
    <row r="102" spans="1:17" x14ac:dyDescent="0.25">
      <c r="A102" s="274" t="s">
        <v>80</v>
      </c>
      <c r="B102" s="251"/>
      <c r="C102" s="230">
        <f>C22+C32+C47+C51+C54+C65+C92+C94+C98+C100+C96</f>
        <v>2712145.1759999995</v>
      </c>
      <c r="D102" s="232">
        <f>D22+D32+D47+D51+D54+D65+D92+D94+D98+D100+D96</f>
        <v>27.31</v>
      </c>
      <c r="E102" s="275">
        <f>E22+E32+E47+E51+E54+E65+E92+E94+E98+E100+E96</f>
        <v>2631276.2760000001</v>
      </c>
      <c r="F102" s="269">
        <f>F22+F32+F47+F51+F54+F65+F92+F94+F98+F100+F96</f>
        <v>26.495688996834144</v>
      </c>
      <c r="G102" s="232">
        <f>C102-E102</f>
        <v>80868.899999999441</v>
      </c>
      <c r="H102" s="240">
        <f>D102-F102</f>
        <v>0.81431100316585514</v>
      </c>
      <c r="I102" s="348"/>
      <c r="J102" s="340"/>
      <c r="K102" s="341"/>
      <c r="L102" s="340"/>
      <c r="M102" s="340"/>
      <c r="N102" s="340"/>
      <c r="O102" s="340"/>
    </row>
    <row r="103" spans="1:17" x14ac:dyDescent="0.25">
      <c r="A103" s="276" t="s">
        <v>81</v>
      </c>
      <c r="B103" s="259"/>
      <c r="C103" s="260"/>
      <c r="D103" s="261"/>
      <c r="E103" s="260"/>
      <c r="F103" s="231"/>
      <c r="G103" s="253"/>
      <c r="H103" s="231"/>
      <c r="I103" s="346"/>
      <c r="J103" s="340"/>
      <c r="K103" s="340"/>
      <c r="L103" s="340"/>
      <c r="M103" s="340"/>
      <c r="N103" s="340"/>
      <c r="O103" s="340"/>
    </row>
    <row r="104" spans="1:17" x14ac:dyDescent="0.25">
      <c r="A104" s="274" t="s">
        <v>171</v>
      </c>
      <c r="B104" s="251"/>
      <c r="C104" s="230">
        <f>D104*8*12413.7</f>
        <v>352549.08</v>
      </c>
      <c r="D104" s="269">
        <v>3.55</v>
      </c>
      <c r="E104" s="230">
        <f>F104*8*12413.7</f>
        <v>352549.08</v>
      </c>
      <c r="F104" s="269">
        <v>3.55</v>
      </c>
      <c r="G104" s="232">
        <f>C104-E104</f>
        <v>0</v>
      </c>
      <c r="H104" s="240">
        <f>D104-F104</f>
        <v>0</v>
      </c>
      <c r="I104" s="346"/>
      <c r="J104" s="340"/>
      <c r="K104" s="340"/>
      <c r="L104" s="340"/>
      <c r="M104" s="340"/>
      <c r="N104" s="340"/>
      <c r="O104" s="340"/>
    </row>
    <row r="105" spans="1:17" x14ac:dyDescent="0.25">
      <c r="A105" s="276" t="s">
        <v>138</v>
      </c>
      <c r="B105" s="259"/>
      <c r="C105" s="277"/>
      <c r="D105" s="278"/>
      <c r="E105" s="260"/>
      <c r="F105" s="261"/>
      <c r="G105" s="249"/>
      <c r="H105" s="248"/>
      <c r="I105" s="346"/>
      <c r="J105" s="340"/>
      <c r="K105" s="340"/>
      <c r="L105" s="340"/>
      <c r="M105" s="340"/>
      <c r="N105" s="340"/>
      <c r="O105" s="340"/>
    </row>
    <row r="106" spans="1:17" x14ac:dyDescent="0.25">
      <c r="A106" s="250" t="s">
        <v>84</v>
      </c>
      <c r="B106" s="251"/>
      <c r="C106" s="275">
        <f>C102+C104</f>
        <v>3064694.2559999996</v>
      </c>
      <c r="D106" s="269">
        <f>D102+D104</f>
        <v>30.86</v>
      </c>
      <c r="E106" s="275">
        <f>E102+E104</f>
        <v>2983825.3560000001</v>
      </c>
      <c r="F106" s="269">
        <f>F102+F104</f>
        <v>30.045688996834144</v>
      </c>
      <c r="G106" s="232">
        <f>C106-E106</f>
        <v>80868.899999999441</v>
      </c>
      <c r="H106" s="240">
        <f>D106-F106</f>
        <v>0.81431100316585514</v>
      </c>
      <c r="I106" s="346"/>
      <c r="J106" s="340"/>
      <c r="K106" s="340"/>
      <c r="L106" s="340"/>
      <c r="M106" s="340"/>
      <c r="N106" s="340"/>
      <c r="O106" s="340"/>
    </row>
    <row r="107" spans="1:17" x14ac:dyDescent="0.25">
      <c r="A107" s="258" t="s">
        <v>85</v>
      </c>
      <c r="B107" s="259"/>
      <c r="C107" s="277"/>
      <c r="D107" s="278"/>
      <c r="E107" s="277"/>
      <c r="F107" s="278"/>
      <c r="G107" s="249"/>
      <c r="H107" s="248"/>
      <c r="I107" s="346"/>
      <c r="J107" s="340"/>
      <c r="K107" s="340"/>
      <c r="L107" s="340"/>
      <c r="M107" s="340"/>
      <c r="N107" s="340"/>
      <c r="O107" s="340"/>
    </row>
    <row r="108" spans="1:17" x14ac:dyDescent="0.25">
      <c r="A108" s="250" t="s">
        <v>172</v>
      </c>
      <c r="B108" s="279" t="s">
        <v>87</v>
      </c>
      <c r="C108" s="230">
        <f>D108*8*B15</f>
        <v>352549.08</v>
      </c>
      <c r="D108" s="269">
        <v>3.55</v>
      </c>
      <c r="E108" s="230">
        <v>67226.320000000007</v>
      </c>
      <c r="F108" s="240">
        <f>E108/8/B15</f>
        <v>0.67693677147023046</v>
      </c>
      <c r="G108" s="232">
        <f>C108-E108</f>
        <v>285322.76</v>
      </c>
      <c r="H108" s="240">
        <f>D108-F108</f>
        <v>2.8730632285297695</v>
      </c>
      <c r="I108" s="346" t="s">
        <v>140</v>
      </c>
      <c r="J108" s="340"/>
      <c r="K108" s="341"/>
      <c r="L108" s="340"/>
      <c r="M108" s="340"/>
      <c r="N108" s="340"/>
      <c r="O108" s="340"/>
    </row>
    <row r="109" spans="1:17" x14ac:dyDescent="0.25">
      <c r="A109" s="79" t="s">
        <v>173</v>
      </c>
      <c r="B109" s="280"/>
      <c r="C109" s="281"/>
      <c r="D109" s="282"/>
      <c r="E109" s="252"/>
      <c r="F109" s="231"/>
      <c r="G109" s="253"/>
      <c r="H109" s="231"/>
      <c r="I109" s="348"/>
      <c r="J109" s="340"/>
      <c r="K109" s="340"/>
      <c r="L109" s="340"/>
      <c r="M109" s="340"/>
      <c r="N109" s="340"/>
      <c r="O109" s="340"/>
    </row>
    <row r="110" spans="1:17" x14ac:dyDescent="0.25">
      <c r="A110" s="258" t="s">
        <v>174</v>
      </c>
      <c r="B110" s="283"/>
      <c r="C110" s="281"/>
      <c r="D110" s="282"/>
      <c r="E110" s="252"/>
      <c r="F110" s="231"/>
      <c r="G110" s="253"/>
      <c r="H110" s="231"/>
      <c r="I110" s="346"/>
      <c r="J110" s="340"/>
      <c r="K110" s="340"/>
      <c r="L110" s="340"/>
      <c r="M110" s="340"/>
      <c r="N110" s="340"/>
      <c r="O110" s="340"/>
    </row>
    <row r="111" spans="1:17" x14ac:dyDescent="0.25">
      <c r="A111" s="250" t="s">
        <v>175</v>
      </c>
      <c r="B111" s="279" t="s">
        <v>176</v>
      </c>
      <c r="C111" s="230">
        <f>D111*8*B15</f>
        <v>737870.32799999998</v>
      </c>
      <c r="D111" s="269">
        <v>7.43</v>
      </c>
      <c r="E111" s="230">
        <v>402866.41921999998</v>
      </c>
      <c r="F111" s="240">
        <f>E111/8/B15</f>
        <v>4.0566714519039442</v>
      </c>
      <c r="G111" s="232">
        <f>C111-E111</f>
        <v>335003.90878</v>
      </c>
      <c r="H111" s="240">
        <f>D111-F111</f>
        <v>3.3733285480960555</v>
      </c>
      <c r="I111" s="346" t="s">
        <v>139</v>
      </c>
      <c r="J111" s="341">
        <f>K111+K114+K116</f>
        <v>30185.152920000004</v>
      </c>
      <c r="K111" s="341"/>
      <c r="L111" s="354"/>
      <c r="M111" s="340"/>
      <c r="N111" s="355"/>
      <c r="O111" s="355"/>
      <c r="P111" s="309"/>
      <c r="Q111" s="309"/>
    </row>
    <row r="112" spans="1:17" x14ac:dyDescent="0.25">
      <c r="A112" s="79" t="s">
        <v>177</v>
      </c>
      <c r="B112" s="284" t="s">
        <v>178</v>
      </c>
      <c r="C112" s="281"/>
      <c r="D112" s="282"/>
      <c r="E112" s="252"/>
      <c r="F112" s="231"/>
      <c r="G112" s="253"/>
      <c r="H112" s="231"/>
      <c r="I112" s="348"/>
      <c r="J112" s="340"/>
      <c r="K112" s="340"/>
      <c r="L112" s="356"/>
      <c r="M112" s="340"/>
      <c r="N112" s="340"/>
      <c r="O112" s="340"/>
    </row>
    <row r="113" spans="1:54" x14ac:dyDescent="0.25">
      <c r="A113" s="79" t="s">
        <v>179</v>
      </c>
      <c r="B113" s="283"/>
      <c r="C113" s="277"/>
      <c r="D113" s="278"/>
      <c r="E113" s="260"/>
      <c r="F113" s="261"/>
      <c r="G113" s="130"/>
      <c r="H113" s="261"/>
      <c r="I113" s="348"/>
      <c r="J113" s="341">
        <f>G112-G113</f>
        <v>0</v>
      </c>
      <c r="K113" s="340"/>
      <c r="L113" s="356">
        <v>74.48</v>
      </c>
      <c r="M113" s="340" t="s">
        <v>139</v>
      </c>
      <c r="N113" s="340"/>
      <c r="O113" s="340"/>
      <c r="R113" s="313"/>
    </row>
    <row r="114" spans="1:54" x14ac:dyDescent="0.25">
      <c r="A114" s="75" t="s">
        <v>180</v>
      </c>
      <c r="B114" s="279" t="s">
        <v>176</v>
      </c>
      <c r="C114" s="281">
        <f>D114*8*B15</f>
        <v>22841.208000000002</v>
      </c>
      <c r="D114" s="282">
        <v>0.23</v>
      </c>
      <c r="E114" s="252">
        <v>16589.668679999999</v>
      </c>
      <c r="F114" s="231">
        <f>E114/8/B15</f>
        <v>0.16704999999999998</v>
      </c>
      <c r="G114" s="285">
        <f>C114-E114</f>
        <v>6251.5393200000035</v>
      </c>
      <c r="H114" s="231">
        <f>D114-F114</f>
        <v>6.2950000000000034E-2</v>
      </c>
      <c r="I114" s="346" t="s">
        <v>216</v>
      </c>
      <c r="J114" s="340"/>
      <c r="K114" s="341">
        <f>'[1]янв-апр 2024'!G114+'[1]май-дек 2024'!G114</f>
        <v>6251.5393200000035</v>
      </c>
      <c r="L114" s="340">
        <v>3272.25</v>
      </c>
      <c r="M114" s="340" t="s">
        <v>139</v>
      </c>
      <c r="N114" s="340">
        <f>L114+L115</f>
        <v>6251.54</v>
      </c>
      <c r="O114" s="340"/>
    </row>
    <row r="115" spans="1:54" x14ac:dyDescent="0.25">
      <c r="A115" s="79" t="s">
        <v>181</v>
      </c>
      <c r="B115" s="284" t="s">
        <v>178</v>
      </c>
      <c r="C115" s="281"/>
      <c r="D115" s="282"/>
      <c r="E115" s="252"/>
      <c r="F115" s="231"/>
      <c r="G115" s="253"/>
      <c r="H115" s="231"/>
      <c r="I115" s="346"/>
      <c r="J115" s="340"/>
      <c r="K115" s="340"/>
      <c r="L115" s="340">
        <v>2979.29</v>
      </c>
      <c r="M115" s="340" t="s">
        <v>190</v>
      </c>
      <c r="N115" s="340"/>
      <c r="O115" s="340"/>
    </row>
    <row r="116" spans="1:54" x14ac:dyDescent="0.25">
      <c r="A116" s="250" t="s">
        <v>182</v>
      </c>
      <c r="B116" s="279" t="s">
        <v>176</v>
      </c>
      <c r="C116" s="275">
        <f>D116*8*B15</f>
        <v>34758.36</v>
      </c>
      <c r="D116" s="269">
        <v>0.35</v>
      </c>
      <c r="E116" s="230">
        <v>10824.7464</v>
      </c>
      <c r="F116" s="240">
        <f>E116/8/B15</f>
        <v>0.109</v>
      </c>
      <c r="G116" s="286">
        <f>C116-E116</f>
        <v>23933.613600000001</v>
      </c>
      <c r="H116" s="240">
        <f>D116-F116</f>
        <v>0.24099999999999999</v>
      </c>
      <c r="I116" s="346" t="s">
        <v>217</v>
      </c>
      <c r="J116" s="340"/>
      <c r="K116" s="341">
        <f>'[1]янв-апр 2024'!G116+'[1]май-дек 2024'!G116</f>
        <v>23933.613600000001</v>
      </c>
      <c r="L116" s="340">
        <v>99.31</v>
      </c>
      <c r="M116" s="340" t="s">
        <v>139</v>
      </c>
      <c r="N116" s="340">
        <f>L116+L117</f>
        <v>23933.614000000001</v>
      </c>
      <c r="O116" s="340"/>
    </row>
    <row r="117" spans="1:54" x14ac:dyDescent="0.25">
      <c r="A117" s="258" t="s">
        <v>183</v>
      </c>
      <c r="B117" s="284" t="s">
        <v>178</v>
      </c>
      <c r="C117" s="277"/>
      <c r="D117" s="278"/>
      <c r="E117" s="260"/>
      <c r="F117" s="261"/>
      <c r="G117" s="130"/>
      <c r="H117" s="261"/>
      <c r="I117" s="346"/>
      <c r="J117" s="340"/>
      <c r="K117" s="340"/>
      <c r="L117" s="340">
        <v>23834.304</v>
      </c>
      <c r="M117" s="340" t="s">
        <v>190</v>
      </c>
      <c r="N117" s="340"/>
      <c r="O117" s="340"/>
    </row>
    <row r="118" spans="1:54" x14ac:dyDescent="0.25">
      <c r="A118" s="250" t="s">
        <v>184</v>
      </c>
      <c r="B118" s="279" t="s">
        <v>185</v>
      </c>
      <c r="C118" s="230">
        <f>D118*8*B15</f>
        <v>22841.208000000002</v>
      </c>
      <c r="D118" s="269">
        <v>0.23</v>
      </c>
      <c r="E118" s="230">
        <v>29790.48</v>
      </c>
      <c r="F118" s="240">
        <f>E118/8/B15</f>
        <v>0.29997583315208193</v>
      </c>
      <c r="G118" s="232">
        <f>C118-E118</f>
        <v>-6949.2719999999972</v>
      </c>
      <c r="H118" s="240">
        <f>D118-F118</f>
        <v>-6.9975833152081918E-2</v>
      </c>
      <c r="I118" s="346" t="s">
        <v>153</v>
      </c>
      <c r="J118" s="340"/>
      <c r="K118" s="341">
        <f>'[1]янв-апр 2024'!G118+'[1]май-дек 2024'!G118</f>
        <v>-1487.243999999997</v>
      </c>
      <c r="L118" s="340" t="s">
        <v>153</v>
      </c>
      <c r="M118" s="340"/>
      <c r="N118" s="340"/>
      <c r="O118" s="340"/>
    </row>
    <row r="119" spans="1:54" x14ac:dyDescent="0.25">
      <c r="A119" s="79" t="s">
        <v>82</v>
      </c>
      <c r="B119" s="280"/>
      <c r="C119" s="281"/>
      <c r="D119" s="282"/>
      <c r="E119" s="252"/>
      <c r="F119" s="231"/>
      <c r="G119" s="253"/>
      <c r="H119" s="231"/>
      <c r="I119" s="348"/>
      <c r="J119" s="340"/>
      <c r="K119" s="340"/>
      <c r="L119" s="340"/>
      <c r="M119" s="340"/>
      <c r="N119" s="340"/>
      <c r="O119" s="340"/>
    </row>
    <row r="120" spans="1:54" x14ac:dyDescent="0.25">
      <c r="A120" s="250" t="s">
        <v>186</v>
      </c>
      <c r="B120" s="279" t="s">
        <v>185</v>
      </c>
      <c r="C120" s="230">
        <f>D120*8*B15</f>
        <v>147971.304</v>
      </c>
      <c r="D120" s="269">
        <v>1.49</v>
      </c>
      <c r="E120" s="230">
        <v>145000.37</v>
      </c>
      <c r="F120" s="240">
        <f>E120/8/B15</f>
        <v>1.4600841207697945</v>
      </c>
      <c r="G120" s="232">
        <f>C120-E120</f>
        <v>2970.9340000000084</v>
      </c>
      <c r="H120" s="240">
        <f>D120-F120</f>
        <v>2.9915879230205444E-2</v>
      </c>
      <c r="I120" s="346" t="s">
        <v>140</v>
      </c>
      <c r="J120" s="340"/>
      <c r="K120" s="341">
        <f>'[1]янв-апр 2024'!G120+'[1]май-дек 2024'!G120</f>
        <v>20350.114000000009</v>
      </c>
      <c r="L120" s="340" t="s">
        <v>140</v>
      </c>
      <c r="M120" s="340"/>
      <c r="N120" s="340"/>
      <c r="O120" s="340"/>
    </row>
    <row r="121" spans="1:54" x14ac:dyDescent="0.25">
      <c r="A121" s="258" t="s">
        <v>189</v>
      </c>
      <c r="B121" s="283"/>
      <c r="C121" s="277"/>
      <c r="D121" s="278"/>
      <c r="E121" s="260"/>
      <c r="F121" s="261"/>
      <c r="G121" s="287"/>
      <c r="H121" s="261"/>
      <c r="I121" s="348"/>
      <c r="J121" s="340"/>
      <c r="K121" s="340"/>
      <c r="L121" s="340"/>
      <c r="M121" s="340"/>
      <c r="N121" s="340"/>
      <c r="O121" s="340"/>
      <c r="P121" s="314"/>
      <c r="Q121" s="314"/>
      <c r="S121" s="314"/>
      <c r="U121" s="72"/>
      <c r="V121" s="72"/>
      <c r="W121" s="112"/>
      <c r="X121" s="108"/>
      <c r="Y121" s="112"/>
    </row>
    <row r="122" spans="1:54" x14ac:dyDescent="0.25">
      <c r="A122" s="250" t="s">
        <v>187</v>
      </c>
      <c r="B122" s="288"/>
      <c r="C122" s="230">
        <f>C108+C111+C118+C120+C114+C116</f>
        <v>1318831.4880000004</v>
      </c>
      <c r="D122" s="240">
        <f>D108+D111+D118+D120+D114+D116</f>
        <v>13.280000000000001</v>
      </c>
      <c r="E122" s="230">
        <f>E108+E111+E118+E120+E114+E116</f>
        <v>672298.00429999991</v>
      </c>
      <c r="F122" s="240">
        <f>F108+F111+F118+F120+F114+F116</f>
        <v>6.7697181772960509</v>
      </c>
      <c r="G122" s="232">
        <f>C122-E122</f>
        <v>646533.48370000045</v>
      </c>
      <c r="H122" s="240">
        <f>D122-F122</f>
        <v>6.5102818227039503</v>
      </c>
      <c r="I122" s="348"/>
      <c r="J122" s="340"/>
      <c r="K122" s="341">
        <f>G122+'[1]янв-апр 2024'!G122</f>
        <v>467213.9557000004</v>
      </c>
      <c r="L122" s="340"/>
      <c r="M122" s="340"/>
      <c r="N122" s="340"/>
      <c r="O122" s="340"/>
      <c r="P122" s="314"/>
      <c r="Q122" s="314"/>
      <c r="S122" s="314"/>
      <c r="U122" s="72"/>
      <c r="V122" s="72"/>
      <c r="W122" s="112"/>
      <c r="X122" s="108"/>
      <c r="Y122" s="73"/>
    </row>
    <row r="123" spans="1:54" ht="15.75" thickBot="1" x14ac:dyDescent="0.3">
      <c r="A123" s="116" t="s">
        <v>188</v>
      </c>
      <c r="B123" s="117"/>
      <c r="C123" s="289"/>
      <c r="D123" s="290"/>
      <c r="E123" s="289"/>
      <c r="F123" s="290"/>
      <c r="G123" s="291"/>
      <c r="H123" s="290"/>
      <c r="I123" s="350"/>
      <c r="J123" s="340"/>
      <c r="K123" s="340"/>
      <c r="L123" s="340"/>
      <c r="M123" s="340"/>
      <c r="N123" s="340"/>
      <c r="O123" s="340"/>
      <c r="P123" s="314"/>
      <c r="Q123" s="314"/>
      <c r="S123" s="314"/>
      <c r="U123" s="72"/>
      <c r="V123" s="72"/>
      <c r="W123" s="112"/>
      <c r="X123" s="72"/>
      <c r="Y123" s="112"/>
    </row>
    <row r="124" spans="1:54" x14ac:dyDescent="0.25">
      <c r="A124" s="122" t="s">
        <v>154</v>
      </c>
      <c r="B124" s="123"/>
      <c r="C124" s="273">
        <f>C106+C122</f>
        <v>4383525.7439999999</v>
      </c>
      <c r="D124" s="292">
        <f>D106+D122</f>
        <v>44.14</v>
      </c>
      <c r="E124" s="293">
        <f>E106+E122</f>
        <v>3656123.3602999998</v>
      </c>
      <c r="F124" s="292">
        <f>F106+F122</f>
        <v>36.815407174130193</v>
      </c>
      <c r="G124" s="294">
        <f>C124-E124</f>
        <v>727402.38370000012</v>
      </c>
      <c r="H124" s="295">
        <f>D124-F124</f>
        <v>7.3245928258698072</v>
      </c>
      <c r="I124" s="350"/>
      <c r="J124" s="340"/>
      <c r="K124" s="357">
        <f>'[1]янв-апр 2024'!G124+'[1]май-дек 2024'!G124</f>
        <v>477854.23770000041</v>
      </c>
      <c r="L124" s="341"/>
      <c r="M124" s="340"/>
      <c r="N124" s="340"/>
      <c r="O124" s="340"/>
      <c r="P124" s="314"/>
      <c r="Q124" s="314"/>
      <c r="S124" s="314"/>
      <c r="U124" s="72"/>
      <c r="V124" s="72"/>
      <c r="W124" s="112"/>
      <c r="X124" s="72"/>
      <c r="Y124" s="73"/>
    </row>
    <row r="125" spans="1:54" ht="15.75" thickBot="1" x14ac:dyDescent="0.3">
      <c r="A125" s="79"/>
      <c r="B125" s="129"/>
      <c r="C125" s="79"/>
      <c r="D125" s="138"/>
      <c r="E125" s="79"/>
      <c r="F125" s="138"/>
      <c r="G125" s="108"/>
      <c r="H125" s="138"/>
      <c r="L125" s="315"/>
      <c r="M125" s="314"/>
      <c r="N125" s="314"/>
      <c r="O125" s="314"/>
      <c r="P125" s="314"/>
      <c r="Q125" s="314"/>
      <c r="S125" s="314"/>
      <c r="U125" s="72"/>
      <c r="V125" s="72"/>
      <c r="W125" s="112"/>
      <c r="X125" s="72"/>
      <c r="Y125" s="73"/>
    </row>
    <row r="126" spans="1:54" x14ac:dyDescent="0.25">
      <c r="A126" s="120" t="s">
        <v>220</v>
      </c>
      <c r="B126" s="120"/>
      <c r="C126" s="316"/>
      <c r="D126" s="124"/>
      <c r="E126" s="158"/>
      <c r="F126" s="296"/>
      <c r="G126" s="306"/>
      <c r="H126" s="317"/>
      <c r="I126" s="351"/>
      <c r="L126" s="314"/>
      <c r="M126" s="314"/>
      <c r="N126" s="314"/>
      <c r="O126" s="314"/>
      <c r="P126" s="314"/>
      <c r="Q126" s="314"/>
      <c r="S126" s="314"/>
      <c r="U126" s="72"/>
      <c r="V126" s="72"/>
      <c r="W126" s="112"/>
      <c r="X126" s="72"/>
      <c r="Y126" s="73"/>
    </row>
    <row r="127" spans="1:54" s="314" customFormat="1" x14ac:dyDescent="0.25">
      <c r="A127" s="156" t="s">
        <v>221</v>
      </c>
      <c r="B127" s="156"/>
      <c r="C127" s="297"/>
      <c r="D127" s="139"/>
      <c r="E127" s="104">
        <v>9570</v>
      </c>
      <c r="F127" s="159"/>
      <c r="G127" s="318"/>
      <c r="H127" s="319"/>
      <c r="I127" s="346" t="s">
        <v>199</v>
      </c>
      <c r="J127" s="305"/>
      <c r="K127" s="305"/>
      <c r="R127" s="305"/>
      <c r="S127" s="305"/>
      <c r="T127" s="305"/>
      <c r="U127" s="305"/>
      <c r="V127" s="305"/>
      <c r="W127" s="305"/>
      <c r="X127" s="305"/>
      <c r="AD127" s="340"/>
      <c r="AE127" s="340"/>
      <c r="AF127" s="340"/>
      <c r="AG127" s="340"/>
      <c r="AH127" s="340"/>
      <c r="AI127" s="340"/>
      <c r="AJ127" s="340"/>
      <c r="AK127" s="340"/>
      <c r="AL127" s="340"/>
      <c r="AM127" s="340"/>
      <c r="AN127" s="340"/>
      <c r="AO127" s="340"/>
      <c r="AP127" s="340"/>
      <c r="AQ127" s="340"/>
      <c r="AR127" s="340"/>
      <c r="AS127" s="340"/>
      <c r="AT127" s="340"/>
      <c r="AU127" s="340"/>
      <c r="AV127" s="340"/>
      <c r="AW127" s="340"/>
      <c r="AX127" s="340"/>
      <c r="AY127" s="340"/>
      <c r="AZ127" s="340"/>
      <c r="BA127" s="340"/>
      <c r="BB127" s="340"/>
    </row>
    <row r="128" spans="1:54" s="314" customFormat="1" x14ac:dyDescent="0.25">
      <c r="A128" s="137" t="s">
        <v>224</v>
      </c>
      <c r="B128" s="137"/>
      <c r="C128" s="298"/>
      <c r="D128" s="157"/>
      <c r="E128" s="134"/>
      <c r="F128" s="160"/>
      <c r="G128" s="320"/>
      <c r="H128" s="321"/>
      <c r="I128" s="352"/>
      <c r="J128" s="305"/>
      <c r="K128" s="305"/>
      <c r="R128" s="305"/>
      <c r="S128" s="305"/>
      <c r="T128" s="305"/>
      <c r="U128" s="305"/>
      <c r="V128" s="305"/>
      <c r="W128" s="305"/>
      <c r="X128" s="305"/>
      <c r="AD128" s="340"/>
      <c r="AE128" s="340"/>
      <c r="AF128" s="340"/>
      <c r="AG128" s="340"/>
      <c r="AH128" s="340"/>
      <c r="AI128" s="340"/>
      <c r="AJ128" s="340"/>
      <c r="AK128" s="340"/>
      <c r="AL128" s="340"/>
      <c r="AM128" s="340"/>
      <c r="AN128" s="340"/>
      <c r="AO128" s="340"/>
      <c r="AP128" s="340"/>
      <c r="AQ128" s="340"/>
      <c r="AR128" s="340"/>
      <c r="AS128" s="340"/>
      <c r="AT128" s="340"/>
      <c r="AU128" s="340"/>
      <c r="AV128" s="340"/>
      <c r="AW128" s="340"/>
      <c r="AX128" s="340"/>
      <c r="AY128" s="340"/>
      <c r="AZ128" s="340"/>
      <c r="BA128" s="340"/>
      <c r="BB128" s="340"/>
    </row>
    <row r="129" spans="1:54" s="314" customFormat="1" x14ac:dyDescent="0.25">
      <c r="A129" s="156" t="s">
        <v>225</v>
      </c>
      <c r="B129" s="156"/>
      <c r="C129" s="297"/>
      <c r="D129" s="139"/>
      <c r="E129" s="104">
        <v>9828.2199999999993</v>
      </c>
      <c r="F129" s="159"/>
      <c r="G129" s="318"/>
      <c r="H129" s="319"/>
      <c r="I129" s="346" t="s">
        <v>199</v>
      </c>
      <c r="J129" s="305"/>
      <c r="K129" s="305"/>
      <c r="R129" s="305"/>
      <c r="S129" s="305"/>
      <c r="T129" s="305"/>
      <c r="U129" s="305"/>
      <c r="V129" s="305"/>
      <c r="W129" s="305"/>
      <c r="X129" s="305"/>
      <c r="AD129" s="340"/>
      <c r="AE129" s="340"/>
      <c r="AF129" s="340"/>
      <c r="AG129" s="340"/>
      <c r="AH129" s="340"/>
      <c r="AI129" s="340"/>
      <c r="AJ129" s="340"/>
      <c r="AK129" s="340"/>
      <c r="AL129" s="340"/>
      <c r="AM129" s="340"/>
      <c r="AN129" s="340"/>
      <c r="AO129" s="340"/>
      <c r="AP129" s="340"/>
      <c r="AQ129" s="340"/>
      <c r="AR129" s="340"/>
      <c r="AS129" s="340"/>
      <c r="AT129" s="340"/>
      <c r="AU129" s="340"/>
      <c r="AV129" s="340"/>
      <c r="AW129" s="340"/>
      <c r="AX129" s="340"/>
      <c r="AY129" s="340"/>
      <c r="AZ129" s="340"/>
      <c r="BA129" s="340"/>
      <c r="BB129" s="340"/>
    </row>
    <row r="130" spans="1:54" s="314" customFormat="1" ht="30.75" thickBot="1" x14ac:dyDescent="0.3">
      <c r="A130" s="322" t="s">
        <v>228</v>
      </c>
      <c r="B130" s="299"/>
      <c r="C130" s="300"/>
      <c r="D130" s="161"/>
      <c r="E130" s="106">
        <v>13508</v>
      </c>
      <c r="F130" s="162"/>
      <c r="G130" s="323"/>
      <c r="H130" s="324"/>
      <c r="I130" s="346" t="s">
        <v>229</v>
      </c>
      <c r="J130" s="305"/>
      <c r="K130" s="305"/>
      <c r="R130" s="305"/>
      <c r="S130" s="305"/>
      <c r="T130" s="305"/>
      <c r="U130" s="305"/>
      <c r="V130" s="305"/>
      <c r="W130" s="305"/>
      <c r="X130" s="305"/>
      <c r="AD130" s="340"/>
      <c r="AE130" s="340"/>
      <c r="AF130" s="340"/>
      <c r="AG130" s="340"/>
      <c r="AH130" s="340"/>
      <c r="AI130" s="340"/>
      <c r="AJ130" s="340"/>
      <c r="AK130" s="340"/>
      <c r="AL130" s="340"/>
      <c r="AM130" s="340"/>
      <c r="AN130" s="340"/>
      <c r="AO130" s="340"/>
      <c r="AP130" s="340"/>
      <c r="AQ130" s="340"/>
      <c r="AR130" s="340"/>
      <c r="AS130" s="340"/>
      <c r="AT130" s="340"/>
      <c r="AU130" s="340"/>
      <c r="AV130" s="340"/>
      <c r="AW130" s="340"/>
      <c r="AX130" s="340"/>
      <c r="AY130" s="340"/>
      <c r="AZ130" s="340"/>
      <c r="BA130" s="340"/>
      <c r="BB130" s="340"/>
    </row>
    <row r="131" spans="1:54" x14ac:dyDescent="0.25">
      <c r="A131" s="120" t="s">
        <v>218</v>
      </c>
      <c r="B131" s="301"/>
      <c r="C131" s="121"/>
      <c r="D131" s="302"/>
      <c r="E131" s="158"/>
      <c r="F131" s="325"/>
      <c r="G131" s="326"/>
      <c r="H131" s="164"/>
      <c r="I131" s="351"/>
      <c r="L131" s="314"/>
      <c r="M131" s="314"/>
      <c r="N131" s="314"/>
      <c r="O131" s="314"/>
      <c r="P131" s="314"/>
      <c r="Q131" s="314"/>
      <c r="S131" s="314"/>
      <c r="U131" s="72"/>
      <c r="V131" s="72"/>
      <c r="W131" s="112"/>
      <c r="X131" s="72"/>
      <c r="Y131" s="73"/>
    </row>
    <row r="132" spans="1:54" x14ac:dyDescent="0.25">
      <c r="A132" s="156" t="s">
        <v>236</v>
      </c>
      <c r="B132" s="156"/>
      <c r="C132" s="327"/>
      <c r="D132" s="328"/>
      <c r="E132" s="104">
        <v>13118.75</v>
      </c>
      <c r="F132" s="220"/>
      <c r="G132" s="318"/>
      <c r="H132" s="319"/>
      <c r="I132" s="346" t="s">
        <v>219</v>
      </c>
      <c r="L132" s="314"/>
      <c r="M132" s="314"/>
      <c r="N132" s="314"/>
      <c r="O132" s="314"/>
      <c r="P132" s="314"/>
      <c r="Q132" s="314"/>
      <c r="S132" s="314"/>
      <c r="U132" s="72"/>
      <c r="V132" s="72"/>
      <c r="W132" s="112"/>
      <c r="X132" s="72"/>
      <c r="Y132" s="73"/>
    </row>
    <row r="133" spans="1:54" s="314" customFormat="1" ht="60.75" thickBot="1" x14ac:dyDescent="0.3">
      <c r="A133" s="322" t="s">
        <v>226</v>
      </c>
      <c r="B133" s="299"/>
      <c r="C133" s="303"/>
      <c r="D133" s="165"/>
      <c r="E133" s="106">
        <v>85624</v>
      </c>
      <c r="F133" s="162"/>
      <c r="G133" s="323"/>
      <c r="H133" s="166"/>
      <c r="I133" s="346" t="s">
        <v>227</v>
      </c>
      <c r="J133" s="305"/>
      <c r="K133" s="305"/>
      <c r="R133" s="305"/>
      <c r="S133" s="305"/>
      <c r="T133" s="305"/>
      <c r="U133" s="305"/>
      <c r="V133" s="305"/>
      <c r="W133" s="305"/>
      <c r="X133" s="305"/>
      <c r="AD133" s="340"/>
      <c r="AE133" s="340"/>
      <c r="AF133" s="340"/>
      <c r="AG133" s="340"/>
      <c r="AH133" s="340"/>
      <c r="AI133" s="340"/>
      <c r="AJ133" s="340"/>
      <c r="AK133" s="340"/>
      <c r="AL133" s="340"/>
      <c r="AM133" s="340"/>
      <c r="AN133" s="340"/>
      <c r="AO133" s="340"/>
      <c r="AP133" s="340"/>
      <c r="AQ133" s="340"/>
      <c r="AR133" s="340"/>
      <c r="AS133" s="340"/>
      <c r="AT133" s="340"/>
      <c r="AU133" s="340"/>
      <c r="AV133" s="340"/>
      <c r="AW133" s="340"/>
      <c r="AX133" s="340"/>
      <c r="AY133" s="340"/>
      <c r="AZ133" s="340"/>
      <c r="BA133" s="340"/>
      <c r="BB133" s="340"/>
    </row>
    <row r="134" spans="1:54" s="329" customFormat="1" x14ac:dyDescent="0.25">
      <c r="A134" s="304" t="s">
        <v>230</v>
      </c>
      <c r="B134" s="304"/>
      <c r="C134" s="140"/>
      <c r="D134" s="138"/>
      <c r="E134" s="146"/>
      <c r="F134" s="163"/>
      <c r="G134" s="307"/>
      <c r="H134" s="145"/>
      <c r="I134" s="352"/>
      <c r="J134" s="312"/>
      <c r="K134" s="312"/>
      <c r="R134" s="312"/>
      <c r="S134" s="312"/>
      <c r="T134" s="312"/>
      <c r="U134" s="312"/>
      <c r="V134" s="312"/>
      <c r="W134" s="312"/>
      <c r="X134" s="312"/>
      <c r="AD134" s="359"/>
      <c r="AE134" s="359"/>
      <c r="AF134" s="359"/>
      <c r="AG134" s="359"/>
      <c r="AH134" s="359"/>
      <c r="AI134" s="359"/>
      <c r="AJ134" s="359"/>
      <c r="AK134" s="359"/>
      <c r="AL134" s="359"/>
      <c r="AM134" s="359"/>
      <c r="AN134" s="359"/>
      <c r="AO134" s="359"/>
      <c r="AP134" s="359"/>
      <c r="AQ134" s="359"/>
      <c r="AR134" s="359"/>
      <c r="AS134" s="359"/>
      <c r="AT134" s="359"/>
      <c r="AU134" s="359"/>
      <c r="AV134" s="359"/>
      <c r="AW134" s="359"/>
      <c r="AX134" s="359"/>
      <c r="AY134" s="359"/>
      <c r="AZ134" s="359"/>
      <c r="BA134" s="359"/>
      <c r="BB134" s="359"/>
    </row>
    <row r="135" spans="1:54" s="329" customFormat="1" x14ac:dyDescent="0.25">
      <c r="A135" s="156" t="s">
        <v>231</v>
      </c>
      <c r="B135" s="156"/>
      <c r="C135" s="297"/>
      <c r="D135" s="139"/>
      <c r="E135" s="135"/>
      <c r="F135" s="159"/>
      <c r="G135" s="318"/>
      <c r="H135" s="144"/>
      <c r="I135" s="346" t="s">
        <v>232</v>
      </c>
      <c r="J135" s="312"/>
      <c r="K135" s="312"/>
      <c r="R135" s="312"/>
      <c r="S135" s="312"/>
      <c r="T135" s="312"/>
      <c r="U135" s="312"/>
      <c r="V135" s="312"/>
      <c r="W135" s="312"/>
      <c r="X135" s="312"/>
      <c r="AD135" s="359"/>
      <c r="AE135" s="359"/>
      <c r="AF135" s="359"/>
      <c r="AG135" s="359"/>
      <c r="AH135" s="359"/>
      <c r="AI135" s="359"/>
      <c r="AJ135" s="359"/>
      <c r="AK135" s="359"/>
      <c r="AL135" s="359"/>
      <c r="AM135" s="359"/>
      <c r="AN135" s="359"/>
      <c r="AO135" s="359"/>
      <c r="AP135" s="359"/>
      <c r="AQ135" s="359"/>
      <c r="AR135" s="359"/>
      <c r="AS135" s="359"/>
      <c r="AT135" s="359"/>
      <c r="AU135" s="359"/>
      <c r="AV135" s="359"/>
      <c r="AW135" s="359"/>
      <c r="AX135" s="359"/>
      <c r="AY135" s="359"/>
      <c r="AZ135" s="359"/>
      <c r="BA135" s="359"/>
      <c r="BB135" s="359"/>
    </row>
    <row r="136" spans="1:54" s="314" customFormat="1" x14ac:dyDescent="0.25">
      <c r="A136" s="137" t="s">
        <v>233</v>
      </c>
      <c r="B136" s="330"/>
      <c r="C136" s="331"/>
      <c r="D136" s="332"/>
      <c r="E136" s="105"/>
      <c r="F136" s="142"/>
      <c r="G136" s="320"/>
      <c r="H136" s="321"/>
      <c r="I136" s="346"/>
      <c r="J136" s="305"/>
      <c r="K136" s="305"/>
      <c r="R136" s="305"/>
      <c r="S136" s="305"/>
      <c r="T136" s="305"/>
      <c r="U136" s="305"/>
      <c r="V136" s="305"/>
      <c r="W136" s="305"/>
      <c r="X136" s="305"/>
      <c r="AD136" s="340"/>
      <c r="AE136" s="340"/>
      <c r="AF136" s="340"/>
      <c r="AG136" s="340"/>
      <c r="AH136" s="340"/>
      <c r="AI136" s="340"/>
      <c r="AJ136" s="340"/>
      <c r="AK136" s="340"/>
      <c r="AL136" s="340"/>
      <c r="AM136" s="340"/>
      <c r="AN136" s="340"/>
      <c r="AO136" s="340"/>
      <c r="AP136" s="340"/>
      <c r="AQ136" s="340"/>
      <c r="AR136" s="340"/>
      <c r="AS136" s="340"/>
      <c r="AT136" s="340"/>
      <c r="AU136" s="340"/>
      <c r="AV136" s="340"/>
      <c r="AW136" s="340"/>
      <c r="AX136" s="340"/>
      <c r="AY136" s="340"/>
      <c r="AZ136" s="340"/>
      <c r="BA136" s="340"/>
      <c r="BB136" s="340"/>
    </row>
    <row r="137" spans="1:54" s="329" customFormat="1" ht="15.75" thickBot="1" x14ac:dyDescent="0.3">
      <c r="A137" s="125" t="s">
        <v>234</v>
      </c>
      <c r="B137" s="333"/>
      <c r="C137" s="334"/>
      <c r="D137" s="335"/>
      <c r="E137" s="109"/>
      <c r="F137" s="141"/>
      <c r="G137" s="310"/>
      <c r="H137" s="336"/>
      <c r="I137" s="346" t="s">
        <v>235</v>
      </c>
      <c r="J137" s="312"/>
      <c r="K137" s="312"/>
      <c r="R137" s="312"/>
      <c r="S137" s="312"/>
      <c r="T137" s="312"/>
      <c r="U137" s="312"/>
      <c r="V137" s="312"/>
      <c r="W137" s="312"/>
      <c r="X137" s="312"/>
      <c r="AD137" s="359"/>
      <c r="AE137" s="359"/>
      <c r="AF137" s="359"/>
      <c r="AG137" s="359"/>
      <c r="AH137" s="359"/>
      <c r="AI137" s="359"/>
      <c r="AJ137" s="359"/>
      <c r="AK137" s="359"/>
      <c r="AL137" s="359"/>
      <c r="AM137" s="359"/>
      <c r="AN137" s="359"/>
      <c r="AO137" s="359"/>
      <c r="AP137" s="359"/>
      <c r="AQ137" s="359"/>
      <c r="AR137" s="359"/>
      <c r="AS137" s="359"/>
      <c r="AT137" s="359"/>
      <c r="AU137" s="359"/>
      <c r="AV137" s="359"/>
      <c r="AW137" s="359"/>
      <c r="AX137" s="359"/>
      <c r="AY137" s="359"/>
      <c r="AZ137" s="359"/>
      <c r="BA137" s="359"/>
      <c r="BB137" s="359"/>
    </row>
    <row r="138" spans="1:54" x14ac:dyDescent="0.25">
      <c r="A138" s="108"/>
      <c r="B138" s="126"/>
      <c r="C138" s="108"/>
      <c r="D138" s="127"/>
      <c r="E138" s="108"/>
      <c r="F138" s="127"/>
      <c r="G138" s="108"/>
      <c r="H138" s="108"/>
      <c r="I138" s="346"/>
    </row>
    <row r="139" spans="1:54" x14ac:dyDescent="0.25">
      <c r="A139" s="128"/>
      <c r="B139" s="128"/>
      <c r="C139" s="128"/>
      <c r="D139" s="107"/>
      <c r="E139" s="128"/>
      <c r="F139" s="128"/>
      <c r="G139" s="128"/>
      <c r="H139" s="128"/>
      <c r="I139" s="346"/>
    </row>
    <row r="140" spans="1:54" x14ac:dyDescent="0.25">
      <c r="A140" s="128"/>
      <c r="B140" s="128"/>
      <c r="C140" s="128"/>
      <c r="D140" s="107"/>
      <c r="E140" s="128"/>
      <c r="F140" s="128"/>
      <c r="G140" s="128"/>
      <c r="H140" s="128"/>
      <c r="I140" s="346"/>
    </row>
    <row r="141" spans="1:54" ht="15.75" x14ac:dyDescent="0.25">
      <c r="A141" s="339" t="s">
        <v>257</v>
      </c>
      <c r="B141" s="148"/>
      <c r="C141" s="148"/>
      <c r="D141" s="107"/>
      <c r="E141" s="149"/>
      <c r="F141" s="148"/>
      <c r="G141" s="148"/>
      <c r="H141" s="148"/>
      <c r="I141" s="348"/>
    </row>
    <row r="142" spans="1:54" x14ac:dyDescent="0.25">
      <c r="A142" s="128"/>
      <c r="B142" s="128"/>
      <c r="C142" s="150"/>
      <c r="D142" s="151"/>
      <c r="E142" s="152"/>
      <c r="F142" s="128"/>
      <c r="G142" s="147"/>
      <c r="H142" s="128"/>
      <c r="I142" s="353"/>
      <c r="J142" s="308"/>
      <c r="K142" s="308"/>
    </row>
    <row r="143" spans="1:54" s="340" customFormat="1" x14ac:dyDescent="0.25">
      <c r="C143" s="341"/>
      <c r="E143" s="342"/>
      <c r="G143" s="343"/>
      <c r="J143" s="341"/>
      <c r="K143" s="341"/>
      <c r="L143" s="341"/>
      <c r="N143" s="341"/>
      <c r="O143" s="341"/>
      <c r="P143" s="341"/>
      <c r="Q143" s="341"/>
    </row>
    <row r="144" spans="1:54" s="340" customFormat="1" x14ac:dyDescent="0.25">
      <c r="C144" s="341">
        <f>C124-G146</f>
        <v>3982496.3492199997</v>
      </c>
      <c r="D144" s="341"/>
      <c r="E144" s="341"/>
      <c r="F144" s="340" t="s">
        <v>140</v>
      </c>
      <c r="G144" s="341">
        <f>G94+G96+G108+2979.289+23834.3+G120</f>
        <v>333322.25699999998</v>
      </c>
      <c r="I144" s="341">
        <f>'[1]янв-апр 2024'!G132+'[1]май-дек 2024'!G144</f>
        <v>356163.46499999997</v>
      </c>
      <c r="J144" s="341"/>
      <c r="K144" s="341"/>
      <c r="L144" s="341">
        <f>K144+K145</f>
        <v>0</v>
      </c>
    </row>
    <row r="145" spans="3:12" s="340" customFormat="1" x14ac:dyDescent="0.25">
      <c r="C145" s="341">
        <f>'[1]янв-апр 2024'!B133+'[1]май-дек 2024'!C144</f>
        <v>5538157.3712200001</v>
      </c>
      <c r="D145" s="341"/>
      <c r="E145" s="341">
        <f>'[1]янв-апр 2024'!E124+'[1]май-дек 2024'!E124</f>
        <v>5479232.1183000002</v>
      </c>
      <c r="F145" s="340" t="s">
        <v>153</v>
      </c>
      <c r="G145" s="341">
        <f>G118</f>
        <v>-6949.2719999999972</v>
      </c>
      <c r="I145" s="341">
        <f>'[1]янв-апр 2024'!G133+'[1]май-дек 2024'!G145</f>
        <v>-297238.21600000007</v>
      </c>
      <c r="J145" s="341"/>
      <c r="K145" s="341"/>
    </row>
    <row r="146" spans="3:12" s="340" customFormat="1" x14ac:dyDescent="0.25">
      <c r="C146" s="341">
        <f>'[1]янв-апр 2024'!C124+'[1]май-дек 2024'!C124-'[1]май-дек 2024'!I146</f>
        <v>5538157.3712200001</v>
      </c>
      <c r="E146" s="341"/>
      <c r="F146" s="340" t="s">
        <v>139</v>
      </c>
      <c r="G146" s="341">
        <f>G54+G92+G111+3272.25+99.31</f>
        <v>401029.39478000003</v>
      </c>
      <c r="I146" s="341">
        <f>'[1]янв-апр 2024'!G134+'[1]май-дек 2024'!G146</f>
        <v>418928.98478000006</v>
      </c>
      <c r="J146" s="341"/>
      <c r="K146" s="341"/>
    </row>
    <row r="147" spans="3:12" s="340" customFormat="1" x14ac:dyDescent="0.25">
      <c r="C147" s="341"/>
      <c r="G147" s="341">
        <f>SUM(G144:G146)</f>
        <v>727402.37978000008</v>
      </c>
      <c r="I147" s="341">
        <f>SUM(I144:I146)</f>
        <v>477854.23377999995</v>
      </c>
      <c r="J147" s="341"/>
      <c r="K147" s="341"/>
      <c r="L147" s="341">
        <f>J147-K147</f>
        <v>0</v>
      </c>
    </row>
    <row r="148" spans="3:12" s="340" customFormat="1" x14ac:dyDescent="0.25">
      <c r="C148" s="341"/>
      <c r="F148" s="340" t="s">
        <v>140</v>
      </c>
      <c r="G148" s="341">
        <f>G144+G145</f>
        <v>326372.98499999999</v>
      </c>
      <c r="H148" s="341"/>
      <c r="I148" s="341">
        <f>I144+I145</f>
        <v>58925.248999999894</v>
      </c>
      <c r="J148" s="341"/>
      <c r="K148" s="341"/>
    </row>
    <row r="149" spans="3:12" s="340" customFormat="1" x14ac:dyDescent="0.25">
      <c r="C149" s="341"/>
      <c r="G149" s="341"/>
      <c r="I149" s="341">
        <f>'[1]янв-апр 2024'!G136+'[1]май-дек 2024'!G148</f>
        <v>58925.248999999894</v>
      </c>
      <c r="J149" s="341"/>
      <c r="K149" s="341"/>
    </row>
    <row r="150" spans="3:12" s="340" customFormat="1" x14ac:dyDescent="0.25">
      <c r="C150" s="341"/>
      <c r="F150" s="340" t="s">
        <v>214</v>
      </c>
      <c r="G150" s="341">
        <f>G148</f>
        <v>326372.98499999999</v>
      </c>
      <c r="J150" s="341">
        <f>'[1]янв-апр 2024'!G138+'[1]май-дек 2024'!G150</f>
        <v>58925.248999999894</v>
      </c>
    </row>
    <row r="151" spans="3:12" s="340" customFormat="1" x14ac:dyDescent="0.25">
      <c r="C151" s="341"/>
      <c r="E151" s="342"/>
      <c r="G151" s="344"/>
      <c r="I151" s="345"/>
    </row>
    <row r="152" spans="3:12" s="340" customFormat="1" x14ac:dyDescent="0.25">
      <c r="F152" s="340" t="s">
        <v>215</v>
      </c>
      <c r="G152" s="341">
        <f>E127+E129+E130+E132+E133+L39+L41+L43</f>
        <v>148699.53</v>
      </c>
      <c r="I152" s="345"/>
    </row>
    <row r="153" spans="3:12" s="340" customFormat="1" x14ac:dyDescent="0.25">
      <c r="G153" s="341"/>
      <c r="I153" s="345"/>
    </row>
    <row r="154" spans="3:12" x14ac:dyDescent="0.25">
      <c r="C154" s="308"/>
      <c r="E154" s="308"/>
      <c r="G154" s="308"/>
    </row>
  </sheetData>
  <pageMargins left="0" right="0" top="0" bottom="0" header="0.31496062992125984" footer="0.31496062992125984"/>
  <pageSetup paperSize="9" scale="1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янв-апр 2024</vt:lpstr>
      <vt:lpstr>май-дек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2025-03-31T04:00:23Z</dcterms:modified>
</cp:coreProperties>
</file>