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D9B6B53-E948-407E-BF7C-2A5A7FC0F109}" xr6:coauthVersionLast="47" xr6:coauthVersionMax="47" xr10:uidLastSave="{00000000-0000-0000-0000-000000000000}"/>
  <bookViews>
    <workbookView xWindow="525" yWindow="1485" windowWidth="14085" windowHeight="7860" xr2:uid="{00000000-000D-0000-FFFF-FFFF00000000}"/>
  </bookViews>
  <sheets>
    <sheet name="2026г  (2)" sheetId="1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7" l="1"/>
  <c r="E163" i="17"/>
  <c r="E169" i="17" s="1"/>
  <c r="D163" i="17"/>
  <c r="D169" i="17" s="1"/>
  <c r="M209" i="17"/>
  <c r="T124" i="17"/>
  <c r="K172" i="17" s="1"/>
  <c r="P124" i="17"/>
  <c r="P135" i="17" s="1"/>
  <c r="P138" i="17" s="1"/>
  <c r="V124" i="17"/>
  <c r="R124" i="17"/>
  <c r="X124" i="17" s="1"/>
  <c r="V123" i="17"/>
  <c r="P123" i="17"/>
  <c r="M206" i="17"/>
  <c r="M196" i="17"/>
  <c r="S191" i="17"/>
  <c r="N191" i="17"/>
  <c r="J188" i="17"/>
  <c r="M188" i="17" s="1"/>
  <c r="M191" i="17" s="1"/>
  <c r="N186" i="17"/>
  <c r="M184" i="17"/>
  <c r="M186" i="17" s="1"/>
  <c r="P186" i="17" s="1"/>
  <c r="M180" i="17"/>
  <c r="M181" i="17" s="1"/>
  <c r="M179" i="17"/>
  <c r="N171" i="17"/>
  <c r="N170" i="17"/>
  <c r="C169" i="17"/>
  <c r="I143" i="17"/>
  <c r="R135" i="17"/>
  <c r="R138" i="17" s="1"/>
  <c r="Q135" i="17"/>
  <c r="Q138" i="17" s="1"/>
  <c r="T131" i="17"/>
  <c r="R131" i="17"/>
  <c r="Q131" i="17"/>
  <c r="W128" i="17"/>
  <c r="O128" i="17"/>
  <c r="I128" i="17"/>
  <c r="N172" i="17"/>
  <c r="M124" i="17"/>
  <c r="Y123" i="17"/>
  <c r="I200" i="17"/>
  <c r="M123" i="17"/>
  <c r="U122" i="17"/>
  <c r="S122" i="17"/>
  <c r="S128" i="17" s="1"/>
  <c r="R122" i="17"/>
  <c r="X123" i="17" s="1"/>
  <c r="Q122" i="17"/>
  <c r="Q128" i="17" s="1"/>
  <c r="O122" i="17"/>
  <c r="Y121" i="17"/>
  <c r="X121" i="17"/>
  <c r="U121" i="17"/>
  <c r="P121" i="17"/>
  <c r="P122" i="17" s="1"/>
  <c r="N205" i="17" s="1"/>
  <c r="X120" i="17"/>
  <c r="V120" i="17"/>
  <c r="U120" i="17"/>
  <c r="T120" i="17"/>
  <c r="P145" i="17" s="1"/>
  <c r="M120" i="17"/>
  <c r="U118" i="17"/>
  <c r="T118" i="17"/>
  <c r="L114" i="17"/>
  <c r="L111" i="17" s="1"/>
  <c r="P113" i="17"/>
  <c r="R113" i="17" s="1"/>
  <c r="L113" i="17"/>
  <c r="Y112" i="17"/>
  <c r="X112" i="17"/>
  <c r="R112" i="17"/>
  <c r="O111" i="17"/>
  <c r="Z110" i="17"/>
  <c r="Y110" i="17" s="1"/>
  <c r="X110" i="17"/>
  <c r="Z109" i="17"/>
  <c r="Y109" i="17" s="1"/>
  <c r="X109" i="17"/>
  <c r="M107" i="17"/>
  <c r="M106" i="17"/>
  <c r="L116" i="17" s="1"/>
  <c r="D93" i="17"/>
  <c r="H91" i="17"/>
  <c r="F91" i="17"/>
  <c r="I91" i="17" s="1"/>
  <c r="H89" i="17"/>
  <c r="I89" i="17" s="1"/>
  <c r="F89" i="17"/>
  <c r="F87" i="17"/>
  <c r="I87" i="17" s="1"/>
  <c r="F85" i="17"/>
  <c r="I85" i="17" s="1"/>
  <c r="F83" i="17"/>
  <c r="I83" i="17" s="1"/>
  <c r="F81" i="17"/>
  <c r="I81" i="17" s="1"/>
  <c r="F77" i="17"/>
  <c r="I77" i="17" s="1"/>
  <c r="F74" i="17"/>
  <c r="I74" i="17" s="1"/>
  <c r="F72" i="17"/>
  <c r="I72" i="17" s="1"/>
  <c r="I70" i="17"/>
  <c r="H70" i="17"/>
  <c r="F70" i="17"/>
  <c r="H68" i="17"/>
  <c r="F68" i="17"/>
  <c r="F66" i="17"/>
  <c r="I66" i="17" s="1"/>
  <c r="O181" i="17" s="1"/>
  <c r="H64" i="17"/>
  <c r="F64" i="17"/>
  <c r="I64" i="17" s="1"/>
  <c r="H61" i="17"/>
  <c r="F61" i="17"/>
  <c r="H57" i="17"/>
  <c r="F57" i="17"/>
  <c r="I57" i="17" s="1"/>
  <c r="H54" i="17"/>
  <c r="F54" i="17"/>
  <c r="I54" i="17" s="1"/>
  <c r="H51" i="17"/>
  <c r="I51" i="17" s="1"/>
  <c r="F51" i="17"/>
  <c r="H46" i="17"/>
  <c r="F46" i="17"/>
  <c r="H43" i="17"/>
  <c r="H93" i="17" s="1"/>
  <c r="F43" i="17"/>
  <c r="X111" i="17" l="1"/>
  <c r="X113" i="17" s="1"/>
  <c r="R111" i="17"/>
  <c r="Q186" i="17"/>
  <c r="I68" i="17"/>
  <c r="P111" i="17"/>
  <c r="X128" i="17"/>
  <c r="I46" i="17"/>
  <c r="R128" i="17"/>
  <c r="F93" i="17"/>
  <c r="I61" i="17"/>
  <c r="U128" i="17"/>
  <c r="T122" i="17"/>
  <c r="M202" i="17" s="1"/>
  <c r="I202" i="17" s="1"/>
  <c r="M128" i="17"/>
  <c r="I93" i="17"/>
  <c r="M207" i="17"/>
  <c r="I95" i="17"/>
  <c r="O191" i="17"/>
  <c r="O202" i="17" s="1"/>
  <c r="I97" i="17"/>
  <c r="Y111" i="17"/>
  <c r="N174" i="17"/>
  <c r="I96" i="17"/>
  <c r="X135" i="17"/>
  <c r="X131" i="17"/>
  <c r="P181" i="17"/>
  <c r="L101" i="17"/>
  <c r="Y120" i="17"/>
  <c r="V122" i="17"/>
  <c r="V128" i="17" s="1"/>
  <c r="Y124" i="17"/>
  <c r="L107" i="17" s="1"/>
  <c r="P128" i="17"/>
  <c r="T128" i="17"/>
  <c r="Y131" i="17"/>
  <c r="T135" i="17"/>
  <c r="T138" i="17" s="1"/>
  <c r="P147" i="17"/>
  <c r="F163" i="17"/>
  <c r="F169" i="17" s="1"/>
  <c r="P131" i="17"/>
  <c r="P146" i="17"/>
  <c r="P148" i="17" s="1"/>
  <c r="I43" i="17"/>
  <c r="X118" i="17"/>
  <c r="K170" i="17"/>
  <c r="X138" i="17" l="1"/>
  <c r="T129" i="17"/>
  <c r="K171" i="17"/>
  <c r="Y122" i="17"/>
  <c r="L106" i="17" s="1"/>
  <c r="P191" i="17"/>
  <c r="Q191" i="17" s="1"/>
  <c r="S192" i="17" s="1"/>
  <c r="Q181" i="17"/>
  <c r="N204" i="17" s="1"/>
  <c r="N206" i="17" s="1"/>
  <c r="M199" i="17"/>
  <c r="I98" i="17"/>
  <c r="Y128" i="17"/>
  <c r="Y118" i="17"/>
  <c r="Y113" i="17"/>
  <c r="M208" i="17"/>
  <c r="M210" i="17" s="1"/>
  <c r="Y135" i="17"/>
  <c r="N107" i="17"/>
  <c r="L109" i="17"/>
  <c r="N202" i="17" l="1"/>
  <c r="M198" i="17"/>
  <c r="H200" i="17"/>
  <c r="P200" i="17"/>
  <c r="K174" i="17"/>
  <c r="M200" i="17"/>
  <c r="M204" i="17"/>
  <c r="H202" i="17"/>
  <c r="L103" i="17"/>
  <c r="N106" i="17" s="1"/>
  <c r="Y138" i="17"/>
</calcChain>
</file>

<file path=xl/sharedStrings.xml><?xml version="1.0" encoding="utf-8"?>
<sst xmlns="http://schemas.openxmlformats.org/spreadsheetml/2006/main" count="334" uniqueCount="232">
  <si>
    <t xml:space="preserve"> </t>
  </si>
  <si>
    <t>руб.</t>
  </si>
  <si>
    <t>обслуживание</t>
  </si>
  <si>
    <t>обеспечения</t>
  </si>
  <si>
    <t>содержание лестничных</t>
  </si>
  <si>
    <t>клеток МКД</t>
  </si>
  <si>
    <t>территории</t>
  </si>
  <si>
    <t>перерасчет</t>
  </si>
  <si>
    <t>остаток</t>
  </si>
  <si>
    <t>ИТОГО</t>
  </si>
  <si>
    <t xml:space="preserve">       О ДЕЯТЕЛЬНОСТИ ПО УПРАВЛЕНИЮ МНОГОКВАРТИРНЫМ ДОМОМ</t>
  </si>
  <si>
    <t xml:space="preserve">                               ОТЧЕТ</t>
  </si>
  <si>
    <t>(полное наименование лица,осуществляющего управление многоквартирным домом)</t>
  </si>
  <si>
    <t>(адрес приема лицом, осуществляющим управление МКД, по вопросам отчета)</t>
  </si>
  <si>
    <t>г. Новосибирск, Заельцовский район, ул. Кубовая, дом № 113</t>
  </si>
  <si>
    <t xml:space="preserve">                                                     (ОГРН/ИНН)</t>
  </si>
  <si>
    <t>Максимова Татьяна Леонидовна, заместитель директора по финансам</t>
  </si>
  <si>
    <t xml:space="preserve">                        (фамилия, имя, отчество, должность)</t>
  </si>
  <si>
    <t>(телефон, электронная почта (при наличии) лица, уполномоченного давать разъяснения)</t>
  </si>
  <si>
    <t xml:space="preserve">Общая площадь жилых и нежилых помещений в многоквартирном доме, </t>
  </si>
  <si>
    <t>принадлежащих собственникам жилых и нежилых помещений (без учета</t>
  </si>
  <si>
    <t>собственников помещений в многоквартирном доме:</t>
  </si>
  <si>
    <t>Лицо, уполномоченное давать разъяснения по отчету:</t>
  </si>
  <si>
    <t>№</t>
  </si>
  <si>
    <t>п/п</t>
  </si>
  <si>
    <t>Наименование работы (услуги)</t>
  </si>
  <si>
    <t xml:space="preserve">Единица </t>
  </si>
  <si>
    <t>измерения</t>
  </si>
  <si>
    <t>работы</t>
  </si>
  <si>
    <t>(услуги)</t>
  </si>
  <si>
    <t>Техническое обслуживание</t>
  </si>
  <si>
    <t>несущих конструкций здания</t>
  </si>
  <si>
    <t>Цена</t>
  </si>
  <si>
    <t>(стоимость)</t>
  </si>
  <si>
    <t>единицы</t>
  </si>
  <si>
    <t>(услуги),</t>
  </si>
  <si>
    <t xml:space="preserve">        Выполнено</t>
  </si>
  <si>
    <t xml:space="preserve">      По перечню работ (услуг)</t>
  </si>
  <si>
    <t>услуги)</t>
  </si>
  <si>
    <t>м2</t>
  </si>
  <si>
    <t>единиц</t>
  </si>
  <si>
    <t>Количество</t>
  </si>
  <si>
    <t>(оказанной</t>
  </si>
  <si>
    <t>внутридомового оборудования и</t>
  </si>
  <si>
    <t xml:space="preserve">Стоимость </t>
  </si>
  <si>
    <t>работы по</t>
  </si>
  <si>
    <t>текущему</t>
  </si>
  <si>
    <t>ремонту</t>
  </si>
  <si>
    <t xml:space="preserve">общего </t>
  </si>
  <si>
    <t>имущества</t>
  </si>
  <si>
    <t xml:space="preserve">Объем </t>
  </si>
  <si>
    <t>выполненных</t>
  </si>
  <si>
    <t>работ с</t>
  </si>
  <si>
    <t xml:space="preserve">единицами </t>
  </si>
  <si>
    <t>Реквизиты акта</t>
  </si>
  <si>
    <t>выплоненных работ</t>
  </si>
  <si>
    <t>или адрес сайта в сети</t>
  </si>
  <si>
    <t>"Интернет", где размещен</t>
  </si>
  <si>
    <t xml:space="preserve">такой акт, при </t>
  </si>
  <si>
    <t>наличии</t>
  </si>
  <si>
    <t>подписанного акта</t>
  </si>
  <si>
    <t xml:space="preserve">Основание </t>
  </si>
  <si>
    <t>проведения</t>
  </si>
  <si>
    <t>имеющих задолженность по оплате за жилое помещение и (или) коммунальные услуги:</t>
  </si>
  <si>
    <t>Количество направленных</t>
  </si>
  <si>
    <t>претензий потребителям- должникам</t>
  </si>
  <si>
    <t>направленных</t>
  </si>
  <si>
    <t>исковых заявлений,</t>
  </si>
  <si>
    <t>заявлений на</t>
  </si>
  <si>
    <t>выдачу</t>
  </si>
  <si>
    <t xml:space="preserve">судебного </t>
  </si>
  <si>
    <t>приказа</t>
  </si>
  <si>
    <t xml:space="preserve">5. Сведения о начислениях лица, осуществляющего управление многоквартирным домом, собственникам и нанимателям помещений в </t>
  </si>
  <si>
    <t xml:space="preserve">многоквартирном доме за выполненные работы (оказанные услуги) по содержанию, управлению и текущему ремонту общего </t>
  </si>
  <si>
    <t xml:space="preserve">имущества многоквартирного дома, в том числе за оказанные дополнительные услуги (оказываемые на основании решений общего </t>
  </si>
  <si>
    <t xml:space="preserve">собрания собственников помещений в многоквартирном доме), о поступлении средств от собственников и нанимателей помещений в </t>
  </si>
  <si>
    <t>многоквартирном доме за указанные работы (услуги) за отчетный период:</t>
  </si>
  <si>
    <t>Вид платежа</t>
  </si>
  <si>
    <t>Задолженность</t>
  </si>
  <si>
    <t>на начало</t>
  </si>
  <si>
    <t>отчетного</t>
  </si>
  <si>
    <t>периода,</t>
  </si>
  <si>
    <t>Размер</t>
  </si>
  <si>
    <t>начисленных</t>
  </si>
  <si>
    <t>средств,</t>
  </si>
  <si>
    <t>поступивших</t>
  </si>
  <si>
    <t>на 1 января</t>
  </si>
  <si>
    <t>следующего</t>
  </si>
  <si>
    <t>Платежи собственников помещений</t>
  </si>
  <si>
    <t>в многоквартирном доме</t>
  </si>
  <si>
    <t>Платежи нанимателей помещений</t>
  </si>
  <si>
    <t xml:space="preserve">Общая сумма поступивших денежных средств </t>
  </si>
  <si>
    <t>по исковым заявлениям и судебным приказам,</t>
  </si>
  <si>
    <t xml:space="preserve">поданным в отчетном периоде и исполненных в </t>
  </si>
  <si>
    <t>принудительном порядке, в том числе исполненных</t>
  </si>
  <si>
    <t>после отчетного периода</t>
  </si>
  <si>
    <t>за отчетным,</t>
  </si>
  <si>
    <t>систем инженерно-технического</t>
  </si>
  <si>
    <t>приборов учета</t>
  </si>
  <si>
    <t>Содержание контейнерных</t>
  </si>
  <si>
    <t>площадок</t>
  </si>
  <si>
    <t>Механизированная уборка</t>
  </si>
  <si>
    <t>придомовой территории</t>
  </si>
  <si>
    <t>с вывозом снега на отвал</t>
  </si>
  <si>
    <t>и зеленых насаждений</t>
  </si>
  <si>
    <t>Обслуживание газонов</t>
  </si>
  <si>
    <t>Итого</t>
  </si>
  <si>
    <t xml:space="preserve">Аварийно-диспетчерское </t>
  </si>
  <si>
    <t>Обслуживание общедомовых</t>
  </si>
  <si>
    <t xml:space="preserve"> Санитарное </t>
  </si>
  <si>
    <t>Уборка придомовой</t>
  </si>
  <si>
    <t>Дератизация, дезинсекция</t>
  </si>
  <si>
    <t>Техническое обслуживание СВН</t>
  </si>
  <si>
    <t>Дз</t>
  </si>
  <si>
    <t>Поступило</t>
  </si>
  <si>
    <t>Выполнено работ</t>
  </si>
  <si>
    <t>Начислено</t>
  </si>
  <si>
    <t>Доп финансирование</t>
  </si>
  <si>
    <t>в т ч:</t>
  </si>
  <si>
    <t>аренда</t>
  </si>
  <si>
    <t>Текущий ремонт</t>
  </si>
  <si>
    <t>Роазовый сбор</t>
  </si>
  <si>
    <t>С/ж</t>
  </si>
  <si>
    <t>Д/у</t>
  </si>
  <si>
    <t>в/н</t>
  </si>
  <si>
    <t>Начислено с уч перерасчета</t>
  </si>
  <si>
    <t>Начислено ОРС</t>
  </si>
  <si>
    <t>откл</t>
  </si>
  <si>
    <t>Начислено с/ж+д/у+в/н</t>
  </si>
  <si>
    <t>Стоимость работы</t>
  </si>
  <si>
    <t>(оказанной услуги)</t>
  </si>
  <si>
    <t>Общий объем денежных средств, подлежащий внесению собственникам помещений в МКД в качестве платы за текущий ремонт</t>
  </si>
  <si>
    <t>Общество с ограниченной ответственностью "Управляющая компания "Светлая роща"</t>
  </si>
  <si>
    <t xml:space="preserve">                              1125476177155/5402556478</t>
  </si>
  <si>
    <t>в лице генерального директора Шамалева Игоря Владимировича, действующего на основании устава</t>
  </si>
  <si>
    <t>тел. 311-06-16, uksvetlaya@mail.ru</t>
  </si>
  <si>
    <t>Выполнено</t>
  </si>
  <si>
    <t>Остаток</t>
  </si>
  <si>
    <t>остаток от начисленных д/с</t>
  </si>
  <si>
    <t>остаток от поступивших д/с</t>
  </si>
  <si>
    <t>тек рем</t>
  </si>
  <si>
    <t xml:space="preserve">аренда </t>
  </si>
  <si>
    <t>дз на 01.01.25</t>
  </si>
  <si>
    <t>вып</t>
  </si>
  <si>
    <t>остаток на 31.12.25</t>
  </si>
  <si>
    <t>опл</t>
  </si>
  <si>
    <t>орс</t>
  </si>
  <si>
    <t>общего имущества МКД в составе платы за содержание жилого помещения, за отчетный период: 0,00 руб.</t>
  </si>
  <si>
    <t xml:space="preserve">Текущее </t>
  </si>
  <si>
    <t>содержание,</t>
  </si>
  <si>
    <t>ремонт</t>
  </si>
  <si>
    <t>Выполнено работ (оказано услуг)</t>
  </si>
  <si>
    <t>Остаток д/ср-в(начисл-выполнено)</t>
  </si>
  <si>
    <t>("-"   перевыполнено работ;</t>
  </si>
  <si>
    <t xml:space="preserve"> "+"  недовыполнено работ)</t>
  </si>
  <si>
    <t>Остаток д/ср-в(оплачено-выполнено)</t>
  </si>
  <si>
    <t>(с уч.задолженности )</t>
  </si>
  <si>
    <t>Остаток на начало от поступ</t>
  </si>
  <si>
    <t>Текущий</t>
  </si>
  <si>
    <t>сбор</t>
  </si>
  <si>
    <t>нач с уч перер</t>
  </si>
  <si>
    <t>Разовы</t>
  </si>
  <si>
    <t>Прочее</t>
  </si>
  <si>
    <t>коммуналка</t>
  </si>
  <si>
    <t xml:space="preserve">не бъет с </t>
  </si>
  <si>
    <t>прошлого года</t>
  </si>
  <si>
    <t xml:space="preserve">Разница кот </t>
  </si>
  <si>
    <t>от поступ</t>
  </si>
  <si>
    <t>от нач</t>
  </si>
  <si>
    <t>Итого из ОРС</t>
  </si>
  <si>
    <t>на 01.01.25</t>
  </si>
  <si>
    <t>нач за весь период</t>
  </si>
  <si>
    <t>выполнено</t>
  </si>
  <si>
    <t>остаток от нач</t>
  </si>
  <si>
    <t>остаток от поступ</t>
  </si>
  <si>
    <t>разовый сбор</t>
  </si>
  <si>
    <t>Остаток д/ср-в на 31.12.2025г</t>
  </si>
  <si>
    <t xml:space="preserve">В отчет </t>
  </si>
  <si>
    <t>Зад на 31.12.2025г.</t>
  </si>
  <si>
    <t xml:space="preserve">Аренда </t>
  </si>
  <si>
    <t>перер</t>
  </si>
  <si>
    <t>снег</t>
  </si>
  <si>
    <t>Остаток д/ср-в на 01.01.2026г</t>
  </si>
  <si>
    <t xml:space="preserve">разовый </t>
  </si>
  <si>
    <t xml:space="preserve">РАЗОВЫЙ </t>
  </si>
  <si>
    <t>ГАЗОН</t>
  </si>
  <si>
    <t xml:space="preserve">Обслуживание дизель-генираторных установок </t>
  </si>
  <si>
    <t>Обслуживание лифтов</t>
  </si>
  <si>
    <t xml:space="preserve">Обслуживание установки для повышения </t>
  </si>
  <si>
    <t>давления холодного водоснабжения</t>
  </si>
  <si>
    <t>Услуги охранного предприятия</t>
  </si>
  <si>
    <t>Обслуживание фонтана</t>
  </si>
  <si>
    <t>амортиз</t>
  </si>
  <si>
    <t xml:space="preserve">Услуги диспетчеризации для пропуска </t>
  </si>
  <si>
    <t xml:space="preserve">Техническое обслуживание GSM модуля </t>
  </si>
  <si>
    <t>(КПП № 3)</t>
  </si>
  <si>
    <t>автотранспорта спец служб (КПП № 3)</t>
  </si>
  <si>
    <r>
      <rPr>
        <b/>
        <sz val="14"/>
        <rFont val="Times New Roman"/>
        <family val="1"/>
        <charset val="204"/>
      </rPr>
      <t>по содержанию</t>
    </r>
    <r>
      <rPr>
        <sz val="14"/>
        <rFont val="Times New Roman"/>
        <family val="1"/>
        <charset val="204"/>
      </rPr>
      <t xml:space="preserve"> общего имущества собственников помещений в многоквартирном доме:</t>
    </r>
  </si>
  <si>
    <r>
      <rPr>
        <b/>
        <sz val="14"/>
        <rFont val="Times New Roman"/>
        <family val="1"/>
        <charset val="204"/>
      </rPr>
      <t>2.   За отчетный период выполнены следующие работы по текущему ремонту</t>
    </r>
    <r>
      <rPr>
        <sz val="14"/>
        <rFont val="Times New Roman"/>
        <family val="1"/>
        <charset val="204"/>
      </rPr>
      <t xml:space="preserve"> общего имущества</t>
    </r>
  </si>
  <si>
    <r>
      <t xml:space="preserve">4.   Сведения о претензионно - исковой работе </t>
    </r>
    <r>
      <rPr>
        <sz val="14"/>
        <rFont val="Times New Roman"/>
        <family val="1"/>
        <charset val="204"/>
      </rPr>
      <t>в отношении собственников и нанимателей помещений в многоквартирном доме,</t>
    </r>
  </si>
  <si>
    <t>Остаток от нач</t>
  </si>
  <si>
    <t>по адресу: г. Новосибирск, Заельцовский район, ул. Кубовая, 96/4</t>
  </si>
  <si>
    <t>помещений, входящих в состав общего имуществамногоквартирного дома): 12413,70 м2</t>
  </si>
  <si>
    <t>Техническое обслуживание шлагбаума (2 шт),</t>
  </si>
  <si>
    <t xml:space="preserve"> калиток (3 шт), GSM модуля (1 шт)</t>
  </si>
  <si>
    <t>1 пост стационарный (24 ч)</t>
  </si>
  <si>
    <t>2 пост с функциями территории (21 ч)</t>
  </si>
  <si>
    <t>перерасход</t>
  </si>
  <si>
    <t>Зад на 01.02.2026г.</t>
  </si>
  <si>
    <t>Оплачено ФЕВР-МАРТ 26</t>
  </si>
  <si>
    <t>Начислено ФЕВР-МАРТ 26</t>
  </si>
  <si>
    <t xml:space="preserve">СВЕТ </t>
  </si>
  <si>
    <t>МОДУЛЯ</t>
  </si>
  <si>
    <t>ЗАМЕНА</t>
  </si>
  <si>
    <t>ОБРАЩ</t>
  </si>
  <si>
    <t>С ТКО</t>
  </si>
  <si>
    <t>Зад на 31.01.2026г. ОРС</t>
  </si>
  <si>
    <t xml:space="preserve">Зад на 01.02.2026г. ОТЧЕТ 15767,335 ЗА 1 ДЕНЬ ФЕВР </t>
  </si>
  <si>
    <t>Отклонение</t>
  </si>
  <si>
    <t>Начислено  2026</t>
  </si>
  <si>
    <t>Оплачено 2026</t>
  </si>
  <si>
    <t>Зад на 31.03.2026г.</t>
  </si>
  <si>
    <t>общего имущества МКД (накопительный фонд), за отчетный период: 49422,39 руб.</t>
  </si>
  <si>
    <t>Дополнительное финансирование работ по текущему ремонту за отчетный период: 0,00 руб.</t>
  </si>
  <si>
    <t>Стоимость работ по текущему ремонту, выполненных за отчетный период: 0,00 руб.</t>
  </si>
  <si>
    <t>15767,335 выставили за 1 день февраля 26</t>
  </si>
  <si>
    <r>
      <t>3.   Стоимость услуг по управлению</t>
    </r>
    <r>
      <rPr>
        <sz val="14"/>
        <rFont val="Times New Roman"/>
        <family val="1"/>
        <charset val="204"/>
      </rPr>
      <t xml:space="preserve"> многоквартирным домом, оказанных за отчетный период: 52913,40 руб.</t>
    </r>
  </si>
  <si>
    <t xml:space="preserve">                           за отчетный период с 02.02.2026г. по 31.03.2026г.</t>
  </si>
  <si>
    <t>Дата размещения отчета: 31.03.2026 г.</t>
  </si>
  <si>
    <t xml:space="preserve">1.1.   За отчетный период с 02.02.2026 г. по 31.03.2026 г. выполнены следующие работы (оказаны следующие услуги) </t>
  </si>
  <si>
    <t>Остаток (перерасход (сальдо) средств на финансирование текущего ремонта на 02 февраля отчетного периода: 16887,67 руб.</t>
  </si>
  <si>
    <t>Остаток (перерасход (сальдо) средств на финансирование текущего ремонта на 31 марта отчетного периода: 66310,06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</si>
</sst>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1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scheme val="minor"/>
    </font>
    <font>
      <sz val="10.5"/>
      <name val="Candara"/>
      <family val="2"/>
      <charset val="204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1"/>
    </font>
    <font>
      <sz val="9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2" xfId="0" applyFont="1" applyBorder="1"/>
    <xf numFmtId="0" fontId="9" fillId="0" borderId="0" xfId="0" applyFont="1"/>
    <xf numFmtId="0" fontId="9" fillId="0" borderId="2" xfId="0" applyFont="1" applyBorder="1"/>
    <xf numFmtId="0" fontId="6" fillId="0" borderId="2" xfId="0" applyFont="1" applyBorder="1"/>
    <xf numFmtId="0" fontId="5" fillId="0" borderId="4" xfId="0" applyFont="1" applyBorder="1"/>
    <xf numFmtId="0" fontId="5" fillId="0" borderId="9" xfId="0" applyFont="1" applyBorder="1"/>
    <xf numFmtId="0" fontId="6" fillId="0" borderId="1" xfId="0" applyFont="1" applyBorder="1"/>
    <xf numFmtId="0" fontId="4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/>
    <xf numFmtId="0" fontId="6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4" fillId="0" borderId="0" xfId="0" applyFont="1" applyAlignment="1">
      <alignment horizontal="center" vertical="center"/>
    </xf>
    <xf numFmtId="0" fontId="7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6" fillId="0" borderId="11" xfId="0" applyFont="1" applyBorder="1" applyAlignment="1">
      <alignment horizontal="center"/>
    </xf>
    <xf numFmtId="0" fontId="7" fillId="0" borderId="0" xfId="0" applyFont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0" fontId="8" fillId="0" borderId="2" xfId="0" applyFont="1" applyBorder="1"/>
    <xf numFmtId="0" fontId="7" fillId="0" borderId="1" xfId="0" applyFont="1" applyBorder="1"/>
    <xf numFmtId="0" fontId="3" fillId="0" borderId="0" xfId="0" applyFont="1" applyAlignment="1">
      <alignment horizontal="left"/>
    </xf>
    <xf numFmtId="2" fontId="7" fillId="0" borderId="14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6" fillId="0" borderId="4" xfId="0" applyFont="1" applyBorder="1"/>
    <xf numFmtId="0" fontId="6" fillId="0" borderId="10" xfId="0" applyFont="1" applyBorder="1"/>
    <xf numFmtId="164" fontId="6" fillId="0" borderId="2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2" borderId="0" xfId="0" applyFont="1" applyFill="1"/>
    <xf numFmtId="2" fontId="10" fillId="2" borderId="0" xfId="0" applyNumberFormat="1" applyFont="1" applyFill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justify" vertical="center"/>
    </xf>
    <xf numFmtId="2" fontId="10" fillId="0" borderId="0" xfId="0" applyNumberFormat="1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5" fillId="0" borderId="0" xfId="0" applyFont="1"/>
    <xf numFmtId="2" fontId="15" fillId="0" borderId="0" xfId="0" applyNumberFormat="1" applyFont="1"/>
    <xf numFmtId="0" fontId="13" fillId="0" borderId="0" xfId="0" applyFont="1"/>
    <xf numFmtId="2" fontId="19" fillId="0" borderId="0" xfId="0" applyNumberFormat="1" applyFont="1"/>
    <xf numFmtId="2" fontId="18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0" xfId="0" applyNumberFormat="1" applyFont="1"/>
    <xf numFmtId="0" fontId="14" fillId="0" borderId="0" xfId="0" applyFont="1"/>
    <xf numFmtId="0" fontId="17" fillId="0" borderId="0" xfId="0" applyFont="1"/>
    <xf numFmtId="0" fontId="12" fillId="2" borderId="0" xfId="0" applyFont="1" applyFill="1"/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01\FIN\&#1054;&#1090;&#1095;&#1077;&#1090;&#1099;%20&#1075;&#1086;&#1076;&#1086;&#1074;&#1099;&#1077;\&#1054;&#1090;&#1095;&#1077;&#1090;%202019%20-%20&#1057;&#1042;&#1045;&#1058;&#1051;&#1040;&#1071;%20&#1056;&#1054;&#1065;&#1040;\96%20%204%20&#1086;&#1090;&#1095;&#1077;&#1090;%202017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 2016 (застр)"/>
      <sheetName val="Отчет 2016 ( УК) "/>
      <sheetName val="2017 (ДГУ декаб)"/>
      <sheetName val="2017"/>
      <sheetName val="2018"/>
      <sheetName val="2019"/>
      <sheetName val="2019 (отч)"/>
      <sheetName val="2020"/>
      <sheetName val="2021"/>
      <sheetName val="2022"/>
      <sheetName val="янв-март 2023"/>
      <sheetName val="отч янв-март 2023 факт тариф "/>
      <sheetName val="отч апр-дек 2023"/>
      <sheetName val="янв-апр 2024"/>
      <sheetName val="май-дек 2024"/>
      <sheetName val="янв-апр 2025"/>
      <sheetName val="май-июль 2025"/>
      <sheetName val="авг-дек 2025"/>
      <sheetName val="авг-дек 2025 (общ тек рем)"/>
      <sheetName val="2026"/>
      <sheetName val="2026 (общ тек рем)"/>
      <sheetName val="2022 (коррект для отч 2023)"/>
      <sheetName val="Лист1"/>
      <sheetName val="Лист1 (2)"/>
      <sheetName val="доход от провайдеров"/>
      <sheetName val="доход от провайдеров (2)"/>
      <sheetName val="Перечень выполненных работ"/>
      <sheetName val="Переч выполн раб(для ответа)"/>
      <sheetName val="Переч выполн раб(для ответа (2)"/>
      <sheetName val="2022 (доголос)"/>
      <sheetName val="2022 (анализ доголос-перерасч)"/>
      <sheetName val="Калькуляция"/>
      <sheetName val="Тек рем Возмещение"/>
      <sheetName val="Вознагр Пред Возмещение"/>
      <sheetName val="2022 (доголос) (2024)"/>
      <sheetName val="2022 (анализ доголос-пере 2024"/>
      <sheetName val="остаток на 01.05.24"/>
      <sheetName val="остаток на 01.05.24 (2)"/>
      <sheetName val="остаток на 01.08.2024"/>
      <sheetName val="остаток на 25.10.2024 (2)"/>
      <sheetName val="2024"/>
      <sheetName val="остаток на 29.12.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7">
          <cell r="M17">
            <v>0</v>
          </cell>
          <cell r="N17">
            <v>148964.4</v>
          </cell>
        </row>
        <row r="23">
          <cell r="M23">
            <v>0</v>
          </cell>
          <cell r="N23">
            <v>32046.799999999999</v>
          </cell>
        </row>
      </sheetData>
      <sheetData sheetId="10" refreshError="1"/>
      <sheetData sheetId="11" refreshError="1"/>
      <sheetData sheetId="12">
        <row r="17">
          <cell r="M17">
            <v>0</v>
          </cell>
          <cell r="N17">
            <v>-148964.4</v>
          </cell>
        </row>
        <row r="23">
          <cell r="N23">
            <v>113526.94</v>
          </cell>
        </row>
        <row r="35">
          <cell r="N35">
            <v>-172501.58</v>
          </cell>
        </row>
      </sheetData>
      <sheetData sheetId="13" refreshError="1"/>
      <sheetData sheetId="14">
        <row r="17">
          <cell r="M17">
            <v>0</v>
          </cell>
          <cell r="N17">
            <v>0</v>
          </cell>
          <cell r="O17">
            <v>148964.4</v>
          </cell>
        </row>
        <row r="23">
          <cell r="M23">
            <v>0</v>
          </cell>
          <cell r="O23">
            <v>32906.22</v>
          </cell>
        </row>
      </sheetData>
      <sheetData sheetId="15" refreshError="1"/>
      <sheetData sheetId="16" refreshError="1"/>
      <sheetData sheetId="17">
        <row r="17">
          <cell r="M17">
            <v>419458.86</v>
          </cell>
          <cell r="N17">
            <v>0</v>
          </cell>
          <cell r="O17">
            <v>273101.40999999997</v>
          </cell>
        </row>
        <row r="23">
          <cell r="M23">
            <v>419276.85</v>
          </cell>
          <cell r="N23">
            <v>0</v>
          </cell>
          <cell r="O23">
            <v>79024</v>
          </cell>
        </row>
      </sheetData>
      <sheetData sheetId="18" refreshError="1"/>
      <sheetData sheetId="19">
        <row r="17">
          <cell r="L17">
            <v>457251.72500000003</v>
          </cell>
          <cell r="M17">
            <v>0</v>
          </cell>
          <cell r="N17">
            <v>0</v>
          </cell>
          <cell r="O17">
            <v>24827.4</v>
          </cell>
        </row>
        <row r="23">
          <cell r="M23">
            <v>0</v>
          </cell>
          <cell r="O23">
            <v>0</v>
          </cell>
        </row>
        <row r="128">
          <cell r="C128">
            <v>463367.9532837969</v>
          </cell>
        </row>
        <row r="138">
          <cell r="G138">
            <v>6116.2360353349541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8"/>
  <sheetViews>
    <sheetView tabSelected="1" topLeftCell="A123" zoomScale="90" zoomScaleNormal="90" workbookViewId="0">
      <selection activeCell="F207" sqref="F207"/>
    </sheetView>
  </sheetViews>
  <sheetFormatPr defaultColWidth="11.5703125" defaultRowHeight="15" x14ac:dyDescent="0.25"/>
  <cols>
    <col min="1" max="1" width="8" style="77" customWidth="1"/>
    <col min="2" max="2" width="47.42578125" style="77" customWidth="1"/>
    <col min="3" max="3" width="17.7109375" style="77" customWidth="1"/>
    <col min="4" max="4" width="14.5703125" style="77" customWidth="1"/>
    <col min="5" max="5" width="16.7109375" style="77" customWidth="1"/>
    <col min="6" max="6" width="22.42578125" style="77" customWidth="1"/>
    <col min="7" max="7" width="12.85546875" style="77" customWidth="1"/>
    <col min="8" max="8" width="24.7109375" style="77" customWidth="1"/>
    <col min="9" max="9" width="11.5703125" style="77"/>
    <col min="10" max="10" width="14.85546875" style="77" customWidth="1"/>
    <col min="11" max="13" width="11.5703125" style="77"/>
    <col min="14" max="14" width="36.85546875" style="77" customWidth="1"/>
    <col min="15" max="15" width="17.28515625" style="77" customWidth="1"/>
    <col min="16" max="16" width="11.85546875" style="77" bestFit="1" customWidth="1"/>
    <col min="17" max="18" width="11.5703125" style="77"/>
    <col min="19" max="19" width="11.85546875" style="77" bestFit="1" customWidth="1"/>
    <col min="20" max="22" width="11.5703125" style="77"/>
    <col min="23" max="23" width="15" style="77" customWidth="1"/>
    <col min="24" max="230" width="11.5703125" style="77"/>
    <col min="231" max="231" width="23.140625" style="77" customWidth="1"/>
    <col min="232" max="232" width="42.85546875" style="77" customWidth="1"/>
    <col min="233" max="233" width="11.5703125" style="77"/>
    <col min="234" max="234" width="11.28515625" style="77" customWidth="1"/>
    <col min="235" max="235" width="12.85546875" style="77" customWidth="1"/>
    <col min="236" max="236" width="12.140625" style="77" customWidth="1"/>
    <col min="237" max="237" width="11.7109375" style="77" customWidth="1"/>
    <col min="238" max="238" width="11.42578125" style="77" customWidth="1"/>
    <col min="239" max="239" width="12.7109375" style="77" customWidth="1"/>
    <col min="240" max="240" width="4.140625" style="77" customWidth="1"/>
    <col min="241" max="241" width="45.28515625" style="77" customWidth="1"/>
    <col min="242" max="242" width="14.85546875" style="77" customWidth="1"/>
    <col min="243" max="243" width="12.28515625" style="77" customWidth="1"/>
    <col min="244" max="245" width="11.140625" style="77" customWidth="1"/>
    <col min="246" max="246" width="12.42578125" style="77" customWidth="1"/>
    <col min="247" max="247" width="11.42578125" style="77" customWidth="1"/>
    <col min="248" max="248" width="13.5703125" style="77" customWidth="1"/>
    <col min="249" max="486" width="11.5703125" style="77"/>
    <col min="487" max="487" width="23.140625" style="77" customWidth="1"/>
    <col min="488" max="488" width="42.85546875" style="77" customWidth="1"/>
    <col min="489" max="489" width="11.5703125" style="77"/>
    <col min="490" max="490" width="11.28515625" style="77" customWidth="1"/>
    <col min="491" max="491" width="12.85546875" style="77" customWidth="1"/>
    <col min="492" max="492" width="12.140625" style="77" customWidth="1"/>
    <col min="493" max="493" width="11.7109375" style="77" customWidth="1"/>
    <col min="494" max="494" width="11.42578125" style="77" customWidth="1"/>
    <col min="495" max="495" width="12.7109375" style="77" customWidth="1"/>
    <col min="496" max="496" width="4.140625" style="77" customWidth="1"/>
    <col min="497" max="497" width="45.28515625" style="77" customWidth="1"/>
    <col min="498" max="498" width="14.85546875" style="77" customWidth="1"/>
    <col min="499" max="499" width="12.28515625" style="77" customWidth="1"/>
    <col min="500" max="501" width="11.140625" style="77" customWidth="1"/>
    <col min="502" max="502" width="12.42578125" style="77" customWidth="1"/>
    <col min="503" max="503" width="11.42578125" style="77" customWidth="1"/>
    <col min="504" max="504" width="13.5703125" style="77" customWidth="1"/>
    <col min="505" max="742" width="11.5703125" style="77"/>
    <col min="743" max="743" width="23.140625" style="77" customWidth="1"/>
    <col min="744" max="744" width="42.85546875" style="77" customWidth="1"/>
    <col min="745" max="745" width="11.5703125" style="77"/>
    <col min="746" max="746" width="11.28515625" style="77" customWidth="1"/>
    <col min="747" max="747" width="12.85546875" style="77" customWidth="1"/>
    <col min="748" max="748" width="12.140625" style="77" customWidth="1"/>
    <col min="749" max="749" width="11.7109375" style="77" customWidth="1"/>
    <col min="750" max="750" width="11.42578125" style="77" customWidth="1"/>
    <col min="751" max="751" width="12.7109375" style="77" customWidth="1"/>
    <col min="752" max="752" width="4.140625" style="77" customWidth="1"/>
    <col min="753" max="753" width="45.28515625" style="77" customWidth="1"/>
    <col min="754" max="754" width="14.85546875" style="77" customWidth="1"/>
    <col min="755" max="755" width="12.28515625" style="77" customWidth="1"/>
    <col min="756" max="757" width="11.140625" style="77" customWidth="1"/>
    <col min="758" max="758" width="12.42578125" style="77" customWidth="1"/>
    <col min="759" max="759" width="11.42578125" style="77" customWidth="1"/>
    <col min="760" max="760" width="13.5703125" style="77" customWidth="1"/>
    <col min="761" max="998" width="11.5703125" style="77"/>
    <col min="999" max="999" width="23.140625" style="77" customWidth="1"/>
    <col min="1000" max="1000" width="42.85546875" style="77" customWidth="1"/>
    <col min="1001" max="1001" width="11.5703125" style="77"/>
    <col min="1002" max="1002" width="11.28515625" style="77" customWidth="1"/>
    <col min="1003" max="1003" width="12.85546875" style="77" customWidth="1"/>
    <col min="1004" max="1004" width="12.140625" style="77" customWidth="1"/>
    <col min="1005" max="1005" width="11.7109375" style="77" customWidth="1"/>
    <col min="1006" max="1006" width="11.42578125" style="77" customWidth="1"/>
    <col min="1007" max="1007" width="12.7109375" style="77" customWidth="1"/>
    <col min="1008" max="1008" width="4.140625" style="77" customWidth="1"/>
    <col min="1009" max="1009" width="45.28515625" style="77" customWidth="1"/>
    <col min="1010" max="1010" width="14.85546875" style="77" customWidth="1"/>
    <col min="1011" max="1011" width="12.28515625" style="77" customWidth="1"/>
    <col min="1012" max="1013" width="11.140625" style="77" customWidth="1"/>
    <col min="1014" max="1014" width="12.42578125" style="77" customWidth="1"/>
    <col min="1015" max="1015" width="11.42578125" style="77" customWidth="1"/>
    <col min="1016" max="1016" width="13.5703125" style="77" customWidth="1"/>
    <col min="1017" max="1254" width="11.5703125" style="77"/>
    <col min="1255" max="1255" width="23.140625" style="77" customWidth="1"/>
    <col min="1256" max="1256" width="42.85546875" style="77" customWidth="1"/>
    <col min="1257" max="1257" width="11.5703125" style="77"/>
    <col min="1258" max="1258" width="11.28515625" style="77" customWidth="1"/>
    <col min="1259" max="1259" width="12.85546875" style="77" customWidth="1"/>
    <col min="1260" max="1260" width="12.140625" style="77" customWidth="1"/>
    <col min="1261" max="1261" width="11.7109375" style="77" customWidth="1"/>
    <col min="1262" max="1262" width="11.42578125" style="77" customWidth="1"/>
    <col min="1263" max="1263" width="12.7109375" style="77" customWidth="1"/>
    <col min="1264" max="1264" width="4.140625" style="77" customWidth="1"/>
    <col min="1265" max="1265" width="45.28515625" style="77" customWidth="1"/>
    <col min="1266" max="1266" width="14.85546875" style="77" customWidth="1"/>
    <col min="1267" max="1267" width="12.28515625" style="77" customWidth="1"/>
    <col min="1268" max="1269" width="11.140625" style="77" customWidth="1"/>
    <col min="1270" max="1270" width="12.42578125" style="77" customWidth="1"/>
    <col min="1271" max="1271" width="11.42578125" style="77" customWidth="1"/>
    <col min="1272" max="1272" width="13.5703125" style="77" customWidth="1"/>
    <col min="1273" max="1510" width="11.5703125" style="77"/>
    <col min="1511" max="1511" width="23.140625" style="77" customWidth="1"/>
    <col min="1512" max="1512" width="42.85546875" style="77" customWidth="1"/>
    <col min="1513" max="1513" width="11.5703125" style="77"/>
    <col min="1514" max="1514" width="11.28515625" style="77" customWidth="1"/>
    <col min="1515" max="1515" width="12.85546875" style="77" customWidth="1"/>
    <col min="1516" max="1516" width="12.140625" style="77" customWidth="1"/>
    <col min="1517" max="1517" width="11.7109375" style="77" customWidth="1"/>
    <col min="1518" max="1518" width="11.42578125" style="77" customWidth="1"/>
    <col min="1519" max="1519" width="12.7109375" style="77" customWidth="1"/>
    <col min="1520" max="1520" width="4.140625" style="77" customWidth="1"/>
    <col min="1521" max="1521" width="45.28515625" style="77" customWidth="1"/>
    <col min="1522" max="1522" width="14.85546875" style="77" customWidth="1"/>
    <col min="1523" max="1523" width="12.28515625" style="77" customWidth="1"/>
    <col min="1524" max="1525" width="11.140625" style="77" customWidth="1"/>
    <col min="1526" max="1526" width="12.42578125" style="77" customWidth="1"/>
    <col min="1527" max="1527" width="11.42578125" style="77" customWidth="1"/>
    <col min="1528" max="1528" width="13.5703125" style="77" customWidth="1"/>
    <col min="1529" max="1766" width="11.5703125" style="77"/>
    <col min="1767" max="1767" width="23.140625" style="77" customWidth="1"/>
    <col min="1768" max="1768" width="42.85546875" style="77" customWidth="1"/>
    <col min="1769" max="1769" width="11.5703125" style="77"/>
    <col min="1770" max="1770" width="11.28515625" style="77" customWidth="1"/>
    <col min="1771" max="1771" width="12.85546875" style="77" customWidth="1"/>
    <col min="1772" max="1772" width="12.140625" style="77" customWidth="1"/>
    <col min="1773" max="1773" width="11.7109375" style="77" customWidth="1"/>
    <col min="1774" max="1774" width="11.42578125" style="77" customWidth="1"/>
    <col min="1775" max="1775" width="12.7109375" style="77" customWidth="1"/>
    <col min="1776" max="1776" width="4.140625" style="77" customWidth="1"/>
    <col min="1777" max="1777" width="45.28515625" style="77" customWidth="1"/>
    <col min="1778" max="1778" width="14.85546875" style="77" customWidth="1"/>
    <col min="1779" max="1779" width="12.28515625" style="77" customWidth="1"/>
    <col min="1780" max="1781" width="11.140625" style="77" customWidth="1"/>
    <col min="1782" max="1782" width="12.42578125" style="77" customWidth="1"/>
    <col min="1783" max="1783" width="11.42578125" style="77" customWidth="1"/>
    <col min="1784" max="1784" width="13.5703125" style="77" customWidth="1"/>
    <col min="1785" max="2022" width="11.5703125" style="77"/>
    <col min="2023" max="2023" width="23.140625" style="77" customWidth="1"/>
    <col min="2024" max="2024" width="42.85546875" style="77" customWidth="1"/>
    <col min="2025" max="2025" width="11.5703125" style="77"/>
    <col min="2026" max="2026" width="11.28515625" style="77" customWidth="1"/>
    <col min="2027" max="2027" width="12.85546875" style="77" customWidth="1"/>
    <col min="2028" max="2028" width="12.140625" style="77" customWidth="1"/>
    <col min="2029" max="2029" width="11.7109375" style="77" customWidth="1"/>
    <col min="2030" max="2030" width="11.42578125" style="77" customWidth="1"/>
    <col min="2031" max="2031" width="12.7109375" style="77" customWidth="1"/>
    <col min="2032" max="2032" width="4.140625" style="77" customWidth="1"/>
    <col min="2033" max="2033" width="45.28515625" style="77" customWidth="1"/>
    <col min="2034" max="2034" width="14.85546875" style="77" customWidth="1"/>
    <col min="2035" max="2035" width="12.28515625" style="77" customWidth="1"/>
    <col min="2036" max="2037" width="11.140625" style="77" customWidth="1"/>
    <col min="2038" max="2038" width="12.42578125" style="77" customWidth="1"/>
    <col min="2039" max="2039" width="11.42578125" style="77" customWidth="1"/>
    <col min="2040" max="2040" width="13.5703125" style="77" customWidth="1"/>
    <col min="2041" max="2278" width="11.5703125" style="77"/>
    <col min="2279" max="2279" width="23.140625" style="77" customWidth="1"/>
    <col min="2280" max="2280" width="42.85546875" style="77" customWidth="1"/>
    <col min="2281" max="2281" width="11.5703125" style="77"/>
    <col min="2282" max="2282" width="11.28515625" style="77" customWidth="1"/>
    <col min="2283" max="2283" width="12.85546875" style="77" customWidth="1"/>
    <col min="2284" max="2284" width="12.140625" style="77" customWidth="1"/>
    <col min="2285" max="2285" width="11.7109375" style="77" customWidth="1"/>
    <col min="2286" max="2286" width="11.42578125" style="77" customWidth="1"/>
    <col min="2287" max="2287" width="12.7109375" style="77" customWidth="1"/>
    <col min="2288" max="2288" width="4.140625" style="77" customWidth="1"/>
    <col min="2289" max="2289" width="45.28515625" style="77" customWidth="1"/>
    <col min="2290" max="2290" width="14.85546875" style="77" customWidth="1"/>
    <col min="2291" max="2291" width="12.28515625" style="77" customWidth="1"/>
    <col min="2292" max="2293" width="11.140625" style="77" customWidth="1"/>
    <col min="2294" max="2294" width="12.42578125" style="77" customWidth="1"/>
    <col min="2295" max="2295" width="11.42578125" style="77" customWidth="1"/>
    <col min="2296" max="2296" width="13.5703125" style="77" customWidth="1"/>
    <col min="2297" max="2534" width="11.5703125" style="77"/>
    <col min="2535" max="2535" width="23.140625" style="77" customWidth="1"/>
    <col min="2536" max="2536" width="42.85546875" style="77" customWidth="1"/>
    <col min="2537" max="2537" width="11.5703125" style="77"/>
    <col min="2538" max="2538" width="11.28515625" style="77" customWidth="1"/>
    <col min="2539" max="2539" width="12.85546875" style="77" customWidth="1"/>
    <col min="2540" max="2540" width="12.140625" style="77" customWidth="1"/>
    <col min="2541" max="2541" width="11.7109375" style="77" customWidth="1"/>
    <col min="2542" max="2542" width="11.42578125" style="77" customWidth="1"/>
    <col min="2543" max="2543" width="12.7109375" style="77" customWidth="1"/>
    <col min="2544" max="2544" width="4.140625" style="77" customWidth="1"/>
    <col min="2545" max="2545" width="45.28515625" style="77" customWidth="1"/>
    <col min="2546" max="2546" width="14.85546875" style="77" customWidth="1"/>
    <col min="2547" max="2547" width="12.28515625" style="77" customWidth="1"/>
    <col min="2548" max="2549" width="11.140625" style="77" customWidth="1"/>
    <col min="2550" max="2550" width="12.42578125" style="77" customWidth="1"/>
    <col min="2551" max="2551" width="11.42578125" style="77" customWidth="1"/>
    <col min="2552" max="2552" width="13.5703125" style="77" customWidth="1"/>
    <col min="2553" max="2790" width="11.5703125" style="77"/>
    <col min="2791" max="2791" width="23.140625" style="77" customWidth="1"/>
    <col min="2792" max="2792" width="42.85546875" style="77" customWidth="1"/>
    <col min="2793" max="2793" width="11.5703125" style="77"/>
    <col min="2794" max="2794" width="11.28515625" style="77" customWidth="1"/>
    <col min="2795" max="2795" width="12.85546875" style="77" customWidth="1"/>
    <col min="2796" max="2796" width="12.140625" style="77" customWidth="1"/>
    <col min="2797" max="2797" width="11.7109375" style="77" customWidth="1"/>
    <col min="2798" max="2798" width="11.42578125" style="77" customWidth="1"/>
    <col min="2799" max="2799" width="12.7109375" style="77" customWidth="1"/>
    <col min="2800" max="2800" width="4.140625" style="77" customWidth="1"/>
    <col min="2801" max="2801" width="45.28515625" style="77" customWidth="1"/>
    <col min="2802" max="2802" width="14.85546875" style="77" customWidth="1"/>
    <col min="2803" max="2803" width="12.28515625" style="77" customWidth="1"/>
    <col min="2804" max="2805" width="11.140625" style="77" customWidth="1"/>
    <col min="2806" max="2806" width="12.42578125" style="77" customWidth="1"/>
    <col min="2807" max="2807" width="11.42578125" style="77" customWidth="1"/>
    <col min="2808" max="2808" width="13.5703125" style="77" customWidth="1"/>
    <col min="2809" max="3046" width="11.5703125" style="77"/>
    <col min="3047" max="3047" width="23.140625" style="77" customWidth="1"/>
    <col min="3048" max="3048" width="42.85546875" style="77" customWidth="1"/>
    <col min="3049" max="3049" width="11.5703125" style="77"/>
    <col min="3050" max="3050" width="11.28515625" style="77" customWidth="1"/>
    <col min="3051" max="3051" width="12.85546875" style="77" customWidth="1"/>
    <col min="3052" max="3052" width="12.140625" style="77" customWidth="1"/>
    <col min="3053" max="3053" width="11.7109375" style="77" customWidth="1"/>
    <col min="3054" max="3054" width="11.42578125" style="77" customWidth="1"/>
    <col min="3055" max="3055" width="12.7109375" style="77" customWidth="1"/>
    <col min="3056" max="3056" width="4.140625" style="77" customWidth="1"/>
    <col min="3057" max="3057" width="45.28515625" style="77" customWidth="1"/>
    <col min="3058" max="3058" width="14.85546875" style="77" customWidth="1"/>
    <col min="3059" max="3059" width="12.28515625" style="77" customWidth="1"/>
    <col min="3060" max="3061" width="11.140625" style="77" customWidth="1"/>
    <col min="3062" max="3062" width="12.42578125" style="77" customWidth="1"/>
    <col min="3063" max="3063" width="11.42578125" style="77" customWidth="1"/>
    <col min="3064" max="3064" width="13.5703125" style="77" customWidth="1"/>
    <col min="3065" max="3302" width="11.5703125" style="77"/>
    <col min="3303" max="3303" width="23.140625" style="77" customWidth="1"/>
    <col min="3304" max="3304" width="42.85546875" style="77" customWidth="1"/>
    <col min="3305" max="3305" width="11.5703125" style="77"/>
    <col min="3306" max="3306" width="11.28515625" style="77" customWidth="1"/>
    <col min="3307" max="3307" width="12.85546875" style="77" customWidth="1"/>
    <col min="3308" max="3308" width="12.140625" style="77" customWidth="1"/>
    <col min="3309" max="3309" width="11.7109375" style="77" customWidth="1"/>
    <col min="3310" max="3310" width="11.42578125" style="77" customWidth="1"/>
    <col min="3311" max="3311" width="12.7109375" style="77" customWidth="1"/>
    <col min="3312" max="3312" width="4.140625" style="77" customWidth="1"/>
    <col min="3313" max="3313" width="45.28515625" style="77" customWidth="1"/>
    <col min="3314" max="3314" width="14.85546875" style="77" customWidth="1"/>
    <col min="3315" max="3315" width="12.28515625" style="77" customWidth="1"/>
    <col min="3316" max="3317" width="11.140625" style="77" customWidth="1"/>
    <col min="3318" max="3318" width="12.42578125" style="77" customWidth="1"/>
    <col min="3319" max="3319" width="11.42578125" style="77" customWidth="1"/>
    <col min="3320" max="3320" width="13.5703125" style="77" customWidth="1"/>
    <col min="3321" max="3558" width="11.5703125" style="77"/>
    <col min="3559" max="3559" width="23.140625" style="77" customWidth="1"/>
    <col min="3560" max="3560" width="42.85546875" style="77" customWidth="1"/>
    <col min="3561" max="3561" width="11.5703125" style="77"/>
    <col min="3562" max="3562" width="11.28515625" style="77" customWidth="1"/>
    <col min="3563" max="3563" width="12.85546875" style="77" customWidth="1"/>
    <col min="3564" max="3564" width="12.140625" style="77" customWidth="1"/>
    <col min="3565" max="3565" width="11.7109375" style="77" customWidth="1"/>
    <col min="3566" max="3566" width="11.42578125" style="77" customWidth="1"/>
    <col min="3567" max="3567" width="12.7109375" style="77" customWidth="1"/>
    <col min="3568" max="3568" width="4.140625" style="77" customWidth="1"/>
    <col min="3569" max="3569" width="45.28515625" style="77" customWidth="1"/>
    <col min="3570" max="3570" width="14.85546875" style="77" customWidth="1"/>
    <col min="3571" max="3571" width="12.28515625" style="77" customWidth="1"/>
    <col min="3572" max="3573" width="11.140625" style="77" customWidth="1"/>
    <col min="3574" max="3574" width="12.42578125" style="77" customWidth="1"/>
    <col min="3575" max="3575" width="11.42578125" style="77" customWidth="1"/>
    <col min="3576" max="3576" width="13.5703125" style="77" customWidth="1"/>
    <col min="3577" max="3814" width="11.5703125" style="77"/>
    <col min="3815" max="3815" width="23.140625" style="77" customWidth="1"/>
    <col min="3816" max="3816" width="42.85546875" style="77" customWidth="1"/>
    <col min="3817" max="3817" width="11.5703125" style="77"/>
    <col min="3818" max="3818" width="11.28515625" style="77" customWidth="1"/>
    <col min="3819" max="3819" width="12.85546875" style="77" customWidth="1"/>
    <col min="3820" max="3820" width="12.140625" style="77" customWidth="1"/>
    <col min="3821" max="3821" width="11.7109375" style="77" customWidth="1"/>
    <col min="3822" max="3822" width="11.42578125" style="77" customWidth="1"/>
    <col min="3823" max="3823" width="12.7109375" style="77" customWidth="1"/>
    <col min="3824" max="3824" width="4.140625" style="77" customWidth="1"/>
    <col min="3825" max="3825" width="45.28515625" style="77" customWidth="1"/>
    <col min="3826" max="3826" width="14.85546875" style="77" customWidth="1"/>
    <col min="3827" max="3827" width="12.28515625" style="77" customWidth="1"/>
    <col min="3828" max="3829" width="11.140625" style="77" customWidth="1"/>
    <col min="3830" max="3830" width="12.42578125" style="77" customWidth="1"/>
    <col min="3831" max="3831" width="11.42578125" style="77" customWidth="1"/>
    <col min="3832" max="3832" width="13.5703125" style="77" customWidth="1"/>
    <col min="3833" max="4070" width="11.5703125" style="77"/>
    <col min="4071" max="4071" width="23.140625" style="77" customWidth="1"/>
    <col min="4072" max="4072" width="42.85546875" style="77" customWidth="1"/>
    <col min="4073" max="4073" width="11.5703125" style="77"/>
    <col min="4074" max="4074" width="11.28515625" style="77" customWidth="1"/>
    <col min="4075" max="4075" width="12.85546875" style="77" customWidth="1"/>
    <col min="4076" max="4076" width="12.140625" style="77" customWidth="1"/>
    <col min="4077" max="4077" width="11.7109375" style="77" customWidth="1"/>
    <col min="4078" max="4078" width="11.42578125" style="77" customWidth="1"/>
    <col min="4079" max="4079" width="12.7109375" style="77" customWidth="1"/>
    <col min="4080" max="4080" width="4.140625" style="77" customWidth="1"/>
    <col min="4081" max="4081" width="45.28515625" style="77" customWidth="1"/>
    <col min="4082" max="4082" width="14.85546875" style="77" customWidth="1"/>
    <col min="4083" max="4083" width="12.28515625" style="77" customWidth="1"/>
    <col min="4084" max="4085" width="11.140625" style="77" customWidth="1"/>
    <col min="4086" max="4086" width="12.42578125" style="77" customWidth="1"/>
    <col min="4087" max="4087" width="11.42578125" style="77" customWidth="1"/>
    <col min="4088" max="4088" width="13.5703125" style="77" customWidth="1"/>
    <col min="4089" max="4326" width="11.5703125" style="77"/>
    <col min="4327" max="4327" width="23.140625" style="77" customWidth="1"/>
    <col min="4328" max="4328" width="42.85546875" style="77" customWidth="1"/>
    <col min="4329" max="4329" width="11.5703125" style="77"/>
    <col min="4330" max="4330" width="11.28515625" style="77" customWidth="1"/>
    <col min="4331" max="4331" width="12.85546875" style="77" customWidth="1"/>
    <col min="4332" max="4332" width="12.140625" style="77" customWidth="1"/>
    <col min="4333" max="4333" width="11.7109375" style="77" customWidth="1"/>
    <col min="4334" max="4334" width="11.42578125" style="77" customWidth="1"/>
    <col min="4335" max="4335" width="12.7109375" style="77" customWidth="1"/>
    <col min="4336" max="4336" width="4.140625" style="77" customWidth="1"/>
    <col min="4337" max="4337" width="45.28515625" style="77" customWidth="1"/>
    <col min="4338" max="4338" width="14.85546875" style="77" customWidth="1"/>
    <col min="4339" max="4339" width="12.28515625" style="77" customWidth="1"/>
    <col min="4340" max="4341" width="11.140625" style="77" customWidth="1"/>
    <col min="4342" max="4342" width="12.42578125" style="77" customWidth="1"/>
    <col min="4343" max="4343" width="11.42578125" style="77" customWidth="1"/>
    <col min="4344" max="4344" width="13.5703125" style="77" customWidth="1"/>
    <col min="4345" max="4582" width="11.5703125" style="77"/>
    <col min="4583" max="4583" width="23.140625" style="77" customWidth="1"/>
    <col min="4584" max="4584" width="42.85546875" style="77" customWidth="1"/>
    <col min="4585" max="4585" width="11.5703125" style="77"/>
    <col min="4586" max="4586" width="11.28515625" style="77" customWidth="1"/>
    <col min="4587" max="4587" width="12.85546875" style="77" customWidth="1"/>
    <col min="4588" max="4588" width="12.140625" style="77" customWidth="1"/>
    <col min="4589" max="4589" width="11.7109375" style="77" customWidth="1"/>
    <col min="4590" max="4590" width="11.42578125" style="77" customWidth="1"/>
    <col min="4591" max="4591" width="12.7109375" style="77" customWidth="1"/>
    <col min="4592" max="4592" width="4.140625" style="77" customWidth="1"/>
    <col min="4593" max="4593" width="45.28515625" style="77" customWidth="1"/>
    <col min="4594" max="4594" width="14.85546875" style="77" customWidth="1"/>
    <col min="4595" max="4595" width="12.28515625" style="77" customWidth="1"/>
    <col min="4596" max="4597" width="11.140625" style="77" customWidth="1"/>
    <col min="4598" max="4598" width="12.42578125" style="77" customWidth="1"/>
    <col min="4599" max="4599" width="11.42578125" style="77" customWidth="1"/>
    <col min="4600" max="4600" width="13.5703125" style="77" customWidth="1"/>
    <col min="4601" max="4838" width="11.5703125" style="77"/>
    <col min="4839" max="4839" width="23.140625" style="77" customWidth="1"/>
    <col min="4840" max="4840" width="42.85546875" style="77" customWidth="1"/>
    <col min="4841" max="4841" width="11.5703125" style="77"/>
    <col min="4842" max="4842" width="11.28515625" style="77" customWidth="1"/>
    <col min="4843" max="4843" width="12.85546875" style="77" customWidth="1"/>
    <col min="4844" max="4844" width="12.140625" style="77" customWidth="1"/>
    <col min="4845" max="4845" width="11.7109375" style="77" customWidth="1"/>
    <col min="4846" max="4846" width="11.42578125" style="77" customWidth="1"/>
    <col min="4847" max="4847" width="12.7109375" style="77" customWidth="1"/>
    <col min="4848" max="4848" width="4.140625" style="77" customWidth="1"/>
    <col min="4849" max="4849" width="45.28515625" style="77" customWidth="1"/>
    <col min="4850" max="4850" width="14.85546875" style="77" customWidth="1"/>
    <col min="4851" max="4851" width="12.28515625" style="77" customWidth="1"/>
    <col min="4852" max="4853" width="11.140625" style="77" customWidth="1"/>
    <col min="4854" max="4854" width="12.42578125" style="77" customWidth="1"/>
    <col min="4855" max="4855" width="11.42578125" style="77" customWidth="1"/>
    <col min="4856" max="4856" width="13.5703125" style="77" customWidth="1"/>
    <col min="4857" max="5094" width="11.5703125" style="77"/>
    <col min="5095" max="5095" width="23.140625" style="77" customWidth="1"/>
    <col min="5096" max="5096" width="42.85546875" style="77" customWidth="1"/>
    <col min="5097" max="5097" width="11.5703125" style="77"/>
    <col min="5098" max="5098" width="11.28515625" style="77" customWidth="1"/>
    <col min="5099" max="5099" width="12.85546875" style="77" customWidth="1"/>
    <col min="5100" max="5100" width="12.140625" style="77" customWidth="1"/>
    <col min="5101" max="5101" width="11.7109375" style="77" customWidth="1"/>
    <col min="5102" max="5102" width="11.42578125" style="77" customWidth="1"/>
    <col min="5103" max="5103" width="12.7109375" style="77" customWidth="1"/>
    <col min="5104" max="5104" width="4.140625" style="77" customWidth="1"/>
    <col min="5105" max="5105" width="45.28515625" style="77" customWidth="1"/>
    <col min="5106" max="5106" width="14.85546875" style="77" customWidth="1"/>
    <col min="5107" max="5107" width="12.28515625" style="77" customWidth="1"/>
    <col min="5108" max="5109" width="11.140625" style="77" customWidth="1"/>
    <col min="5110" max="5110" width="12.42578125" style="77" customWidth="1"/>
    <col min="5111" max="5111" width="11.42578125" style="77" customWidth="1"/>
    <col min="5112" max="5112" width="13.5703125" style="77" customWidth="1"/>
    <col min="5113" max="5350" width="11.5703125" style="77"/>
    <col min="5351" max="5351" width="23.140625" style="77" customWidth="1"/>
    <col min="5352" max="5352" width="42.85546875" style="77" customWidth="1"/>
    <col min="5353" max="5353" width="11.5703125" style="77"/>
    <col min="5354" max="5354" width="11.28515625" style="77" customWidth="1"/>
    <col min="5355" max="5355" width="12.85546875" style="77" customWidth="1"/>
    <col min="5356" max="5356" width="12.140625" style="77" customWidth="1"/>
    <col min="5357" max="5357" width="11.7109375" style="77" customWidth="1"/>
    <col min="5358" max="5358" width="11.42578125" style="77" customWidth="1"/>
    <col min="5359" max="5359" width="12.7109375" style="77" customWidth="1"/>
    <col min="5360" max="5360" width="4.140625" style="77" customWidth="1"/>
    <col min="5361" max="5361" width="45.28515625" style="77" customWidth="1"/>
    <col min="5362" max="5362" width="14.85546875" style="77" customWidth="1"/>
    <col min="5363" max="5363" width="12.28515625" style="77" customWidth="1"/>
    <col min="5364" max="5365" width="11.140625" style="77" customWidth="1"/>
    <col min="5366" max="5366" width="12.42578125" style="77" customWidth="1"/>
    <col min="5367" max="5367" width="11.42578125" style="77" customWidth="1"/>
    <col min="5368" max="5368" width="13.5703125" style="77" customWidth="1"/>
    <col min="5369" max="5606" width="11.5703125" style="77"/>
    <col min="5607" max="5607" width="23.140625" style="77" customWidth="1"/>
    <col min="5608" max="5608" width="42.85546875" style="77" customWidth="1"/>
    <col min="5609" max="5609" width="11.5703125" style="77"/>
    <col min="5610" max="5610" width="11.28515625" style="77" customWidth="1"/>
    <col min="5611" max="5611" width="12.85546875" style="77" customWidth="1"/>
    <col min="5612" max="5612" width="12.140625" style="77" customWidth="1"/>
    <col min="5613" max="5613" width="11.7109375" style="77" customWidth="1"/>
    <col min="5614" max="5614" width="11.42578125" style="77" customWidth="1"/>
    <col min="5615" max="5615" width="12.7109375" style="77" customWidth="1"/>
    <col min="5616" max="5616" width="4.140625" style="77" customWidth="1"/>
    <col min="5617" max="5617" width="45.28515625" style="77" customWidth="1"/>
    <col min="5618" max="5618" width="14.85546875" style="77" customWidth="1"/>
    <col min="5619" max="5619" width="12.28515625" style="77" customWidth="1"/>
    <col min="5620" max="5621" width="11.140625" style="77" customWidth="1"/>
    <col min="5622" max="5622" width="12.42578125" style="77" customWidth="1"/>
    <col min="5623" max="5623" width="11.42578125" style="77" customWidth="1"/>
    <col min="5624" max="5624" width="13.5703125" style="77" customWidth="1"/>
    <col min="5625" max="5862" width="11.5703125" style="77"/>
    <col min="5863" max="5863" width="23.140625" style="77" customWidth="1"/>
    <col min="5864" max="5864" width="42.85546875" style="77" customWidth="1"/>
    <col min="5865" max="5865" width="11.5703125" style="77"/>
    <col min="5866" max="5866" width="11.28515625" style="77" customWidth="1"/>
    <col min="5867" max="5867" width="12.85546875" style="77" customWidth="1"/>
    <col min="5868" max="5868" width="12.140625" style="77" customWidth="1"/>
    <col min="5869" max="5869" width="11.7109375" style="77" customWidth="1"/>
    <col min="5870" max="5870" width="11.42578125" style="77" customWidth="1"/>
    <col min="5871" max="5871" width="12.7109375" style="77" customWidth="1"/>
    <col min="5872" max="5872" width="4.140625" style="77" customWidth="1"/>
    <col min="5873" max="5873" width="45.28515625" style="77" customWidth="1"/>
    <col min="5874" max="5874" width="14.85546875" style="77" customWidth="1"/>
    <col min="5875" max="5875" width="12.28515625" style="77" customWidth="1"/>
    <col min="5876" max="5877" width="11.140625" style="77" customWidth="1"/>
    <col min="5878" max="5878" width="12.42578125" style="77" customWidth="1"/>
    <col min="5879" max="5879" width="11.42578125" style="77" customWidth="1"/>
    <col min="5880" max="5880" width="13.5703125" style="77" customWidth="1"/>
    <col min="5881" max="6118" width="11.5703125" style="77"/>
    <col min="6119" max="6119" width="23.140625" style="77" customWidth="1"/>
    <col min="6120" max="6120" width="42.85546875" style="77" customWidth="1"/>
    <col min="6121" max="6121" width="11.5703125" style="77"/>
    <col min="6122" max="6122" width="11.28515625" style="77" customWidth="1"/>
    <col min="6123" max="6123" width="12.85546875" style="77" customWidth="1"/>
    <col min="6124" max="6124" width="12.140625" style="77" customWidth="1"/>
    <col min="6125" max="6125" width="11.7109375" style="77" customWidth="1"/>
    <col min="6126" max="6126" width="11.42578125" style="77" customWidth="1"/>
    <col min="6127" max="6127" width="12.7109375" style="77" customWidth="1"/>
    <col min="6128" max="6128" width="4.140625" style="77" customWidth="1"/>
    <col min="6129" max="6129" width="45.28515625" style="77" customWidth="1"/>
    <col min="6130" max="6130" width="14.85546875" style="77" customWidth="1"/>
    <col min="6131" max="6131" width="12.28515625" style="77" customWidth="1"/>
    <col min="6132" max="6133" width="11.140625" style="77" customWidth="1"/>
    <col min="6134" max="6134" width="12.42578125" style="77" customWidth="1"/>
    <col min="6135" max="6135" width="11.42578125" style="77" customWidth="1"/>
    <col min="6136" max="6136" width="13.5703125" style="77" customWidth="1"/>
    <col min="6137" max="6374" width="11.5703125" style="77"/>
    <col min="6375" max="6375" width="23.140625" style="77" customWidth="1"/>
    <col min="6376" max="6376" width="42.85546875" style="77" customWidth="1"/>
    <col min="6377" max="6377" width="11.5703125" style="77"/>
    <col min="6378" max="6378" width="11.28515625" style="77" customWidth="1"/>
    <col min="6379" max="6379" width="12.85546875" style="77" customWidth="1"/>
    <col min="6380" max="6380" width="12.140625" style="77" customWidth="1"/>
    <col min="6381" max="6381" width="11.7109375" style="77" customWidth="1"/>
    <col min="6382" max="6382" width="11.42578125" style="77" customWidth="1"/>
    <col min="6383" max="6383" width="12.7109375" style="77" customWidth="1"/>
    <col min="6384" max="6384" width="4.140625" style="77" customWidth="1"/>
    <col min="6385" max="6385" width="45.28515625" style="77" customWidth="1"/>
    <col min="6386" max="6386" width="14.85546875" style="77" customWidth="1"/>
    <col min="6387" max="6387" width="12.28515625" style="77" customWidth="1"/>
    <col min="6388" max="6389" width="11.140625" style="77" customWidth="1"/>
    <col min="6390" max="6390" width="12.42578125" style="77" customWidth="1"/>
    <col min="6391" max="6391" width="11.42578125" style="77" customWidth="1"/>
    <col min="6392" max="6392" width="13.5703125" style="77" customWidth="1"/>
    <col min="6393" max="6630" width="11.5703125" style="77"/>
    <col min="6631" max="6631" width="23.140625" style="77" customWidth="1"/>
    <col min="6632" max="6632" width="42.85546875" style="77" customWidth="1"/>
    <col min="6633" max="6633" width="11.5703125" style="77"/>
    <col min="6634" max="6634" width="11.28515625" style="77" customWidth="1"/>
    <col min="6635" max="6635" width="12.85546875" style="77" customWidth="1"/>
    <col min="6636" max="6636" width="12.140625" style="77" customWidth="1"/>
    <col min="6637" max="6637" width="11.7109375" style="77" customWidth="1"/>
    <col min="6638" max="6638" width="11.42578125" style="77" customWidth="1"/>
    <col min="6639" max="6639" width="12.7109375" style="77" customWidth="1"/>
    <col min="6640" max="6640" width="4.140625" style="77" customWidth="1"/>
    <col min="6641" max="6641" width="45.28515625" style="77" customWidth="1"/>
    <col min="6642" max="6642" width="14.85546875" style="77" customWidth="1"/>
    <col min="6643" max="6643" width="12.28515625" style="77" customWidth="1"/>
    <col min="6644" max="6645" width="11.140625" style="77" customWidth="1"/>
    <col min="6646" max="6646" width="12.42578125" style="77" customWidth="1"/>
    <col min="6647" max="6647" width="11.42578125" style="77" customWidth="1"/>
    <col min="6648" max="6648" width="13.5703125" style="77" customWidth="1"/>
    <col min="6649" max="6886" width="11.5703125" style="77"/>
    <col min="6887" max="6887" width="23.140625" style="77" customWidth="1"/>
    <col min="6888" max="6888" width="42.85546875" style="77" customWidth="1"/>
    <col min="6889" max="6889" width="11.5703125" style="77"/>
    <col min="6890" max="6890" width="11.28515625" style="77" customWidth="1"/>
    <col min="6891" max="6891" width="12.85546875" style="77" customWidth="1"/>
    <col min="6892" max="6892" width="12.140625" style="77" customWidth="1"/>
    <col min="6893" max="6893" width="11.7109375" style="77" customWidth="1"/>
    <col min="6894" max="6894" width="11.42578125" style="77" customWidth="1"/>
    <col min="6895" max="6895" width="12.7109375" style="77" customWidth="1"/>
    <col min="6896" max="6896" width="4.140625" style="77" customWidth="1"/>
    <col min="6897" max="6897" width="45.28515625" style="77" customWidth="1"/>
    <col min="6898" max="6898" width="14.85546875" style="77" customWidth="1"/>
    <col min="6899" max="6899" width="12.28515625" style="77" customWidth="1"/>
    <col min="6900" max="6901" width="11.140625" style="77" customWidth="1"/>
    <col min="6902" max="6902" width="12.42578125" style="77" customWidth="1"/>
    <col min="6903" max="6903" width="11.42578125" style="77" customWidth="1"/>
    <col min="6904" max="6904" width="13.5703125" style="77" customWidth="1"/>
    <col min="6905" max="7142" width="11.5703125" style="77"/>
    <col min="7143" max="7143" width="23.140625" style="77" customWidth="1"/>
    <col min="7144" max="7144" width="42.85546875" style="77" customWidth="1"/>
    <col min="7145" max="7145" width="11.5703125" style="77"/>
    <col min="7146" max="7146" width="11.28515625" style="77" customWidth="1"/>
    <col min="7147" max="7147" width="12.85546875" style="77" customWidth="1"/>
    <col min="7148" max="7148" width="12.140625" style="77" customWidth="1"/>
    <col min="7149" max="7149" width="11.7109375" style="77" customWidth="1"/>
    <col min="7150" max="7150" width="11.42578125" style="77" customWidth="1"/>
    <col min="7151" max="7151" width="12.7109375" style="77" customWidth="1"/>
    <col min="7152" max="7152" width="4.140625" style="77" customWidth="1"/>
    <col min="7153" max="7153" width="45.28515625" style="77" customWidth="1"/>
    <col min="7154" max="7154" width="14.85546875" style="77" customWidth="1"/>
    <col min="7155" max="7155" width="12.28515625" style="77" customWidth="1"/>
    <col min="7156" max="7157" width="11.140625" style="77" customWidth="1"/>
    <col min="7158" max="7158" width="12.42578125" style="77" customWidth="1"/>
    <col min="7159" max="7159" width="11.42578125" style="77" customWidth="1"/>
    <col min="7160" max="7160" width="13.5703125" style="77" customWidth="1"/>
    <col min="7161" max="7398" width="11.5703125" style="77"/>
    <col min="7399" max="7399" width="23.140625" style="77" customWidth="1"/>
    <col min="7400" max="7400" width="42.85546875" style="77" customWidth="1"/>
    <col min="7401" max="7401" width="11.5703125" style="77"/>
    <col min="7402" max="7402" width="11.28515625" style="77" customWidth="1"/>
    <col min="7403" max="7403" width="12.85546875" style="77" customWidth="1"/>
    <col min="7404" max="7404" width="12.140625" style="77" customWidth="1"/>
    <col min="7405" max="7405" width="11.7109375" style="77" customWidth="1"/>
    <col min="7406" max="7406" width="11.42578125" style="77" customWidth="1"/>
    <col min="7407" max="7407" width="12.7109375" style="77" customWidth="1"/>
    <col min="7408" max="7408" width="4.140625" style="77" customWidth="1"/>
    <col min="7409" max="7409" width="45.28515625" style="77" customWidth="1"/>
    <col min="7410" max="7410" width="14.85546875" style="77" customWidth="1"/>
    <col min="7411" max="7411" width="12.28515625" style="77" customWidth="1"/>
    <col min="7412" max="7413" width="11.140625" style="77" customWidth="1"/>
    <col min="7414" max="7414" width="12.42578125" style="77" customWidth="1"/>
    <col min="7415" max="7415" width="11.42578125" style="77" customWidth="1"/>
    <col min="7416" max="7416" width="13.5703125" style="77" customWidth="1"/>
    <col min="7417" max="7654" width="11.5703125" style="77"/>
    <col min="7655" max="7655" width="23.140625" style="77" customWidth="1"/>
    <col min="7656" max="7656" width="42.85546875" style="77" customWidth="1"/>
    <col min="7657" max="7657" width="11.5703125" style="77"/>
    <col min="7658" max="7658" width="11.28515625" style="77" customWidth="1"/>
    <col min="7659" max="7659" width="12.85546875" style="77" customWidth="1"/>
    <col min="7660" max="7660" width="12.140625" style="77" customWidth="1"/>
    <col min="7661" max="7661" width="11.7109375" style="77" customWidth="1"/>
    <col min="7662" max="7662" width="11.42578125" style="77" customWidth="1"/>
    <col min="7663" max="7663" width="12.7109375" style="77" customWidth="1"/>
    <col min="7664" max="7664" width="4.140625" style="77" customWidth="1"/>
    <col min="7665" max="7665" width="45.28515625" style="77" customWidth="1"/>
    <col min="7666" max="7666" width="14.85546875" style="77" customWidth="1"/>
    <col min="7667" max="7667" width="12.28515625" style="77" customWidth="1"/>
    <col min="7668" max="7669" width="11.140625" style="77" customWidth="1"/>
    <col min="7670" max="7670" width="12.42578125" style="77" customWidth="1"/>
    <col min="7671" max="7671" width="11.42578125" style="77" customWidth="1"/>
    <col min="7672" max="7672" width="13.5703125" style="77" customWidth="1"/>
    <col min="7673" max="7910" width="11.5703125" style="77"/>
    <col min="7911" max="7911" width="23.140625" style="77" customWidth="1"/>
    <col min="7912" max="7912" width="42.85546875" style="77" customWidth="1"/>
    <col min="7913" max="7913" width="11.5703125" style="77"/>
    <col min="7914" max="7914" width="11.28515625" style="77" customWidth="1"/>
    <col min="7915" max="7915" width="12.85546875" style="77" customWidth="1"/>
    <col min="7916" max="7916" width="12.140625" style="77" customWidth="1"/>
    <col min="7917" max="7917" width="11.7109375" style="77" customWidth="1"/>
    <col min="7918" max="7918" width="11.42578125" style="77" customWidth="1"/>
    <col min="7919" max="7919" width="12.7109375" style="77" customWidth="1"/>
    <col min="7920" max="7920" width="4.140625" style="77" customWidth="1"/>
    <col min="7921" max="7921" width="45.28515625" style="77" customWidth="1"/>
    <col min="7922" max="7922" width="14.85546875" style="77" customWidth="1"/>
    <col min="7923" max="7923" width="12.28515625" style="77" customWidth="1"/>
    <col min="7924" max="7925" width="11.140625" style="77" customWidth="1"/>
    <col min="7926" max="7926" width="12.42578125" style="77" customWidth="1"/>
    <col min="7927" max="7927" width="11.42578125" style="77" customWidth="1"/>
    <col min="7928" max="7928" width="13.5703125" style="77" customWidth="1"/>
    <col min="7929" max="8166" width="11.5703125" style="77"/>
    <col min="8167" max="8167" width="23.140625" style="77" customWidth="1"/>
    <col min="8168" max="8168" width="42.85546875" style="77" customWidth="1"/>
    <col min="8169" max="8169" width="11.5703125" style="77"/>
    <col min="8170" max="8170" width="11.28515625" style="77" customWidth="1"/>
    <col min="8171" max="8171" width="12.85546875" style="77" customWidth="1"/>
    <col min="8172" max="8172" width="12.140625" style="77" customWidth="1"/>
    <col min="8173" max="8173" width="11.7109375" style="77" customWidth="1"/>
    <col min="8174" max="8174" width="11.42578125" style="77" customWidth="1"/>
    <col min="8175" max="8175" width="12.7109375" style="77" customWidth="1"/>
    <col min="8176" max="8176" width="4.140625" style="77" customWidth="1"/>
    <col min="8177" max="8177" width="45.28515625" style="77" customWidth="1"/>
    <col min="8178" max="8178" width="14.85546875" style="77" customWidth="1"/>
    <col min="8179" max="8179" width="12.28515625" style="77" customWidth="1"/>
    <col min="8180" max="8181" width="11.140625" style="77" customWidth="1"/>
    <col min="8182" max="8182" width="12.42578125" style="77" customWidth="1"/>
    <col min="8183" max="8183" width="11.42578125" style="77" customWidth="1"/>
    <col min="8184" max="8184" width="13.5703125" style="77" customWidth="1"/>
    <col min="8185" max="8422" width="11.5703125" style="77"/>
    <col min="8423" max="8423" width="23.140625" style="77" customWidth="1"/>
    <col min="8424" max="8424" width="42.85546875" style="77" customWidth="1"/>
    <col min="8425" max="8425" width="11.5703125" style="77"/>
    <col min="8426" max="8426" width="11.28515625" style="77" customWidth="1"/>
    <col min="8427" max="8427" width="12.85546875" style="77" customWidth="1"/>
    <col min="8428" max="8428" width="12.140625" style="77" customWidth="1"/>
    <col min="8429" max="8429" width="11.7109375" style="77" customWidth="1"/>
    <col min="8430" max="8430" width="11.42578125" style="77" customWidth="1"/>
    <col min="8431" max="8431" width="12.7109375" style="77" customWidth="1"/>
    <col min="8432" max="8432" width="4.140625" style="77" customWidth="1"/>
    <col min="8433" max="8433" width="45.28515625" style="77" customWidth="1"/>
    <col min="8434" max="8434" width="14.85546875" style="77" customWidth="1"/>
    <col min="8435" max="8435" width="12.28515625" style="77" customWidth="1"/>
    <col min="8436" max="8437" width="11.140625" style="77" customWidth="1"/>
    <col min="8438" max="8438" width="12.42578125" style="77" customWidth="1"/>
    <col min="8439" max="8439" width="11.42578125" style="77" customWidth="1"/>
    <col min="8440" max="8440" width="13.5703125" style="77" customWidth="1"/>
    <col min="8441" max="8678" width="11.5703125" style="77"/>
    <col min="8679" max="8679" width="23.140625" style="77" customWidth="1"/>
    <col min="8680" max="8680" width="42.85546875" style="77" customWidth="1"/>
    <col min="8681" max="8681" width="11.5703125" style="77"/>
    <col min="8682" max="8682" width="11.28515625" style="77" customWidth="1"/>
    <col min="8683" max="8683" width="12.85546875" style="77" customWidth="1"/>
    <col min="8684" max="8684" width="12.140625" style="77" customWidth="1"/>
    <col min="8685" max="8685" width="11.7109375" style="77" customWidth="1"/>
    <col min="8686" max="8686" width="11.42578125" style="77" customWidth="1"/>
    <col min="8687" max="8687" width="12.7109375" style="77" customWidth="1"/>
    <col min="8688" max="8688" width="4.140625" style="77" customWidth="1"/>
    <col min="8689" max="8689" width="45.28515625" style="77" customWidth="1"/>
    <col min="8690" max="8690" width="14.85546875" style="77" customWidth="1"/>
    <col min="8691" max="8691" width="12.28515625" style="77" customWidth="1"/>
    <col min="8692" max="8693" width="11.140625" style="77" customWidth="1"/>
    <col min="8694" max="8694" width="12.42578125" style="77" customWidth="1"/>
    <col min="8695" max="8695" width="11.42578125" style="77" customWidth="1"/>
    <col min="8696" max="8696" width="13.5703125" style="77" customWidth="1"/>
    <col min="8697" max="8934" width="11.5703125" style="77"/>
    <col min="8935" max="8935" width="23.140625" style="77" customWidth="1"/>
    <col min="8936" max="8936" width="42.85546875" style="77" customWidth="1"/>
    <col min="8937" max="8937" width="11.5703125" style="77"/>
    <col min="8938" max="8938" width="11.28515625" style="77" customWidth="1"/>
    <col min="8939" max="8939" width="12.85546875" style="77" customWidth="1"/>
    <col min="8940" max="8940" width="12.140625" style="77" customWidth="1"/>
    <col min="8941" max="8941" width="11.7109375" style="77" customWidth="1"/>
    <col min="8942" max="8942" width="11.42578125" style="77" customWidth="1"/>
    <col min="8943" max="8943" width="12.7109375" style="77" customWidth="1"/>
    <col min="8944" max="8944" width="4.140625" style="77" customWidth="1"/>
    <col min="8945" max="8945" width="45.28515625" style="77" customWidth="1"/>
    <col min="8946" max="8946" width="14.85546875" style="77" customWidth="1"/>
    <col min="8947" max="8947" width="12.28515625" style="77" customWidth="1"/>
    <col min="8948" max="8949" width="11.140625" style="77" customWidth="1"/>
    <col min="8950" max="8950" width="12.42578125" style="77" customWidth="1"/>
    <col min="8951" max="8951" width="11.42578125" style="77" customWidth="1"/>
    <col min="8952" max="8952" width="13.5703125" style="77" customWidth="1"/>
    <col min="8953" max="9190" width="11.5703125" style="77"/>
    <col min="9191" max="9191" width="23.140625" style="77" customWidth="1"/>
    <col min="9192" max="9192" width="42.85546875" style="77" customWidth="1"/>
    <col min="9193" max="9193" width="11.5703125" style="77"/>
    <col min="9194" max="9194" width="11.28515625" style="77" customWidth="1"/>
    <col min="9195" max="9195" width="12.85546875" style="77" customWidth="1"/>
    <col min="9196" max="9196" width="12.140625" style="77" customWidth="1"/>
    <col min="9197" max="9197" width="11.7109375" style="77" customWidth="1"/>
    <col min="9198" max="9198" width="11.42578125" style="77" customWidth="1"/>
    <col min="9199" max="9199" width="12.7109375" style="77" customWidth="1"/>
    <col min="9200" max="9200" width="4.140625" style="77" customWidth="1"/>
    <col min="9201" max="9201" width="45.28515625" style="77" customWidth="1"/>
    <col min="9202" max="9202" width="14.85546875" style="77" customWidth="1"/>
    <col min="9203" max="9203" width="12.28515625" style="77" customWidth="1"/>
    <col min="9204" max="9205" width="11.140625" style="77" customWidth="1"/>
    <col min="9206" max="9206" width="12.42578125" style="77" customWidth="1"/>
    <col min="9207" max="9207" width="11.42578125" style="77" customWidth="1"/>
    <col min="9208" max="9208" width="13.5703125" style="77" customWidth="1"/>
    <col min="9209" max="9446" width="11.5703125" style="77"/>
    <col min="9447" max="9447" width="23.140625" style="77" customWidth="1"/>
    <col min="9448" max="9448" width="42.85546875" style="77" customWidth="1"/>
    <col min="9449" max="9449" width="11.5703125" style="77"/>
    <col min="9450" max="9450" width="11.28515625" style="77" customWidth="1"/>
    <col min="9451" max="9451" width="12.85546875" style="77" customWidth="1"/>
    <col min="9452" max="9452" width="12.140625" style="77" customWidth="1"/>
    <col min="9453" max="9453" width="11.7109375" style="77" customWidth="1"/>
    <col min="9454" max="9454" width="11.42578125" style="77" customWidth="1"/>
    <col min="9455" max="9455" width="12.7109375" style="77" customWidth="1"/>
    <col min="9456" max="9456" width="4.140625" style="77" customWidth="1"/>
    <col min="9457" max="9457" width="45.28515625" style="77" customWidth="1"/>
    <col min="9458" max="9458" width="14.85546875" style="77" customWidth="1"/>
    <col min="9459" max="9459" width="12.28515625" style="77" customWidth="1"/>
    <col min="9460" max="9461" width="11.140625" style="77" customWidth="1"/>
    <col min="9462" max="9462" width="12.42578125" style="77" customWidth="1"/>
    <col min="9463" max="9463" width="11.42578125" style="77" customWidth="1"/>
    <col min="9464" max="9464" width="13.5703125" style="77" customWidth="1"/>
    <col min="9465" max="9702" width="11.5703125" style="77"/>
    <col min="9703" max="9703" width="23.140625" style="77" customWidth="1"/>
    <col min="9704" max="9704" width="42.85546875" style="77" customWidth="1"/>
    <col min="9705" max="9705" width="11.5703125" style="77"/>
    <col min="9706" max="9706" width="11.28515625" style="77" customWidth="1"/>
    <col min="9707" max="9707" width="12.85546875" style="77" customWidth="1"/>
    <col min="9708" max="9708" width="12.140625" style="77" customWidth="1"/>
    <col min="9709" max="9709" width="11.7109375" style="77" customWidth="1"/>
    <col min="9710" max="9710" width="11.42578125" style="77" customWidth="1"/>
    <col min="9711" max="9711" width="12.7109375" style="77" customWidth="1"/>
    <col min="9712" max="9712" width="4.140625" style="77" customWidth="1"/>
    <col min="9713" max="9713" width="45.28515625" style="77" customWidth="1"/>
    <col min="9714" max="9714" width="14.85546875" style="77" customWidth="1"/>
    <col min="9715" max="9715" width="12.28515625" style="77" customWidth="1"/>
    <col min="9716" max="9717" width="11.140625" style="77" customWidth="1"/>
    <col min="9718" max="9718" width="12.42578125" style="77" customWidth="1"/>
    <col min="9719" max="9719" width="11.42578125" style="77" customWidth="1"/>
    <col min="9720" max="9720" width="13.5703125" style="77" customWidth="1"/>
    <col min="9721" max="9958" width="11.5703125" style="77"/>
    <col min="9959" max="9959" width="23.140625" style="77" customWidth="1"/>
    <col min="9960" max="9960" width="42.85546875" style="77" customWidth="1"/>
    <col min="9961" max="9961" width="11.5703125" style="77"/>
    <col min="9962" max="9962" width="11.28515625" style="77" customWidth="1"/>
    <col min="9963" max="9963" width="12.85546875" style="77" customWidth="1"/>
    <col min="9964" max="9964" width="12.140625" style="77" customWidth="1"/>
    <col min="9965" max="9965" width="11.7109375" style="77" customWidth="1"/>
    <col min="9966" max="9966" width="11.42578125" style="77" customWidth="1"/>
    <col min="9967" max="9967" width="12.7109375" style="77" customWidth="1"/>
    <col min="9968" max="9968" width="4.140625" style="77" customWidth="1"/>
    <col min="9969" max="9969" width="45.28515625" style="77" customWidth="1"/>
    <col min="9970" max="9970" width="14.85546875" style="77" customWidth="1"/>
    <col min="9971" max="9971" width="12.28515625" style="77" customWidth="1"/>
    <col min="9972" max="9973" width="11.140625" style="77" customWidth="1"/>
    <col min="9974" max="9974" width="12.42578125" style="77" customWidth="1"/>
    <col min="9975" max="9975" width="11.42578125" style="77" customWidth="1"/>
    <col min="9976" max="9976" width="13.5703125" style="77" customWidth="1"/>
    <col min="9977" max="10214" width="11.5703125" style="77"/>
    <col min="10215" max="10215" width="23.140625" style="77" customWidth="1"/>
    <col min="10216" max="10216" width="42.85546875" style="77" customWidth="1"/>
    <col min="10217" max="10217" width="11.5703125" style="77"/>
    <col min="10218" max="10218" width="11.28515625" style="77" customWidth="1"/>
    <col min="10219" max="10219" width="12.85546875" style="77" customWidth="1"/>
    <col min="10220" max="10220" width="12.140625" style="77" customWidth="1"/>
    <col min="10221" max="10221" width="11.7109375" style="77" customWidth="1"/>
    <col min="10222" max="10222" width="11.42578125" style="77" customWidth="1"/>
    <col min="10223" max="10223" width="12.7109375" style="77" customWidth="1"/>
    <col min="10224" max="10224" width="4.140625" style="77" customWidth="1"/>
    <col min="10225" max="10225" width="45.28515625" style="77" customWidth="1"/>
    <col min="10226" max="10226" width="14.85546875" style="77" customWidth="1"/>
    <col min="10227" max="10227" width="12.28515625" style="77" customWidth="1"/>
    <col min="10228" max="10229" width="11.140625" style="77" customWidth="1"/>
    <col min="10230" max="10230" width="12.42578125" style="77" customWidth="1"/>
    <col min="10231" max="10231" width="11.42578125" style="77" customWidth="1"/>
    <col min="10232" max="10232" width="13.5703125" style="77" customWidth="1"/>
    <col min="10233" max="10470" width="11.5703125" style="77"/>
    <col min="10471" max="10471" width="23.140625" style="77" customWidth="1"/>
    <col min="10472" max="10472" width="42.85546875" style="77" customWidth="1"/>
    <col min="10473" max="10473" width="11.5703125" style="77"/>
    <col min="10474" max="10474" width="11.28515625" style="77" customWidth="1"/>
    <col min="10475" max="10475" width="12.85546875" style="77" customWidth="1"/>
    <col min="10476" max="10476" width="12.140625" style="77" customWidth="1"/>
    <col min="10477" max="10477" width="11.7109375" style="77" customWidth="1"/>
    <col min="10478" max="10478" width="11.42578125" style="77" customWidth="1"/>
    <col min="10479" max="10479" width="12.7109375" style="77" customWidth="1"/>
    <col min="10480" max="10480" width="4.140625" style="77" customWidth="1"/>
    <col min="10481" max="10481" width="45.28515625" style="77" customWidth="1"/>
    <col min="10482" max="10482" width="14.85546875" style="77" customWidth="1"/>
    <col min="10483" max="10483" width="12.28515625" style="77" customWidth="1"/>
    <col min="10484" max="10485" width="11.140625" style="77" customWidth="1"/>
    <col min="10486" max="10486" width="12.42578125" style="77" customWidth="1"/>
    <col min="10487" max="10487" width="11.42578125" style="77" customWidth="1"/>
    <col min="10488" max="10488" width="13.5703125" style="77" customWidth="1"/>
    <col min="10489" max="10726" width="11.5703125" style="77"/>
    <col min="10727" max="10727" width="23.140625" style="77" customWidth="1"/>
    <col min="10728" max="10728" width="42.85546875" style="77" customWidth="1"/>
    <col min="10729" max="10729" width="11.5703125" style="77"/>
    <col min="10730" max="10730" width="11.28515625" style="77" customWidth="1"/>
    <col min="10731" max="10731" width="12.85546875" style="77" customWidth="1"/>
    <col min="10732" max="10732" width="12.140625" style="77" customWidth="1"/>
    <col min="10733" max="10733" width="11.7109375" style="77" customWidth="1"/>
    <col min="10734" max="10734" width="11.42578125" style="77" customWidth="1"/>
    <col min="10735" max="10735" width="12.7109375" style="77" customWidth="1"/>
    <col min="10736" max="10736" width="4.140625" style="77" customWidth="1"/>
    <col min="10737" max="10737" width="45.28515625" style="77" customWidth="1"/>
    <col min="10738" max="10738" width="14.85546875" style="77" customWidth="1"/>
    <col min="10739" max="10739" width="12.28515625" style="77" customWidth="1"/>
    <col min="10740" max="10741" width="11.140625" style="77" customWidth="1"/>
    <col min="10742" max="10742" width="12.42578125" style="77" customWidth="1"/>
    <col min="10743" max="10743" width="11.42578125" style="77" customWidth="1"/>
    <col min="10744" max="10744" width="13.5703125" style="77" customWidth="1"/>
    <col min="10745" max="10982" width="11.5703125" style="77"/>
    <col min="10983" max="10983" width="23.140625" style="77" customWidth="1"/>
    <col min="10984" max="10984" width="42.85546875" style="77" customWidth="1"/>
    <col min="10985" max="10985" width="11.5703125" style="77"/>
    <col min="10986" max="10986" width="11.28515625" style="77" customWidth="1"/>
    <col min="10987" max="10987" width="12.85546875" style="77" customWidth="1"/>
    <col min="10988" max="10988" width="12.140625" style="77" customWidth="1"/>
    <col min="10989" max="10989" width="11.7109375" style="77" customWidth="1"/>
    <col min="10990" max="10990" width="11.42578125" style="77" customWidth="1"/>
    <col min="10991" max="10991" width="12.7109375" style="77" customWidth="1"/>
    <col min="10992" max="10992" width="4.140625" style="77" customWidth="1"/>
    <col min="10993" max="10993" width="45.28515625" style="77" customWidth="1"/>
    <col min="10994" max="10994" width="14.85546875" style="77" customWidth="1"/>
    <col min="10995" max="10995" width="12.28515625" style="77" customWidth="1"/>
    <col min="10996" max="10997" width="11.140625" style="77" customWidth="1"/>
    <col min="10998" max="10998" width="12.42578125" style="77" customWidth="1"/>
    <col min="10999" max="10999" width="11.42578125" style="77" customWidth="1"/>
    <col min="11000" max="11000" width="13.5703125" style="77" customWidth="1"/>
    <col min="11001" max="11238" width="11.5703125" style="77"/>
    <col min="11239" max="11239" width="23.140625" style="77" customWidth="1"/>
    <col min="11240" max="11240" width="42.85546875" style="77" customWidth="1"/>
    <col min="11241" max="11241" width="11.5703125" style="77"/>
    <col min="11242" max="11242" width="11.28515625" style="77" customWidth="1"/>
    <col min="11243" max="11243" width="12.85546875" style="77" customWidth="1"/>
    <col min="11244" max="11244" width="12.140625" style="77" customWidth="1"/>
    <col min="11245" max="11245" width="11.7109375" style="77" customWidth="1"/>
    <col min="11246" max="11246" width="11.42578125" style="77" customWidth="1"/>
    <col min="11247" max="11247" width="12.7109375" style="77" customWidth="1"/>
    <col min="11248" max="11248" width="4.140625" style="77" customWidth="1"/>
    <col min="11249" max="11249" width="45.28515625" style="77" customWidth="1"/>
    <col min="11250" max="11250" width="14.85546875" style="77" customWidth="1"/>
    <col min="11251" max="11251" width="12.28515625" style="77" customWidth="1"/>
    <col min="11252" max="11253" width="11.140625" style="77" customWidth="1"/>
    <col min="11254" max="11254" width="12.42578125" style="77" customWidth="1"/>
    <col min="11255" max="11255" width="11.42578125" style="77" customWidth="1"/>
    <col min="11256" max="11256" width="13.5703125" style="77" customWidth="1"/>
    <col min="11257" max="11494" width="11.5703125" style="77"/>
    <col min="11495" max="11495" width="23.140625" style="77" customWidth="1"/>
    <col min="11496" max="11496" width="42.85546875" style="77" customWidth="1"/>
    <col min="11497" max="11497" width="11.5703125" style="77"/>
    <col min="11498" max="11498" width="11.28515625" style="77" customWidth="1"/>
    <col min="11499" max="11499" width="12.85546875" style="77" customWidth="1"/>
    <col min="11500" max="11500" width="12.140625" style="77" customWidth="1"/>
    <col min="11501" max="11501" width="11.7109375" style="77" customWidth="1"/>
    <col min="11502" max="11502" width="11.42578125" style="77" customWidth="1"/>
    <col min="11503" max="11503" width="12.7109375" style="77" customWidth="1"/>
    <col min="11504" max="11504" width="4.140625" style="77" customWidth="1"/>
    <col min="11505" max="11505" width="45.28515625" style="77" customWidth="1"/>
    <col min="11506" max="11506" width="14.85546875" style="77" customWidth="1"/>
    <col min="11507" max="11507" width="12.28515625" style="77" customWidth="1"/>
    <col min="11508" max="11509" width="11.140625" style="77" customWidth="1"/>
    <col min="11510" max="11510" width="12.42578125" style="77" customWidth="1"/>
    <col min="11511" max="11511" width="11.42578125" style="77" customWidth="1"/>
    <col min="11512" max="11512" width="13.5703125" style="77" customWidth="1"/>
    <col min="11513" max="11750" width="11.5703125" style="77"/>
    <col min="11751" max="11751" width="23.140625" style="77" customWidth="1"/>
    <col min="11752" max="11752" width="42.85546875" style="77" customWidth="1"/>
    <col min="11753" max="11753" width="11.5703125" style="77"/>
    <col min="11754" max="11754" width="11.28515625" style="77" customWidth="1"/>
    <col min="11755" max="11755" width="12.85546875" style="77" customWidth="1"/>
    <col min="11756" max="11756" width="12.140625" style="77" customWidth="1"/>
    <col min="11757" max="11757" width="11.7109375" style="77" customWidth="1"/>
    <col min="11758" max="11758" width="11.42578125" style="77" customWidth="1"/>
    <col min="11759" max="11759" width="12.7109375" style="77" customWidth="1"/>
    <col min="11760" max="11760" width="4.140625" style="77" customWidth="1"/>
    <col min="11761" max="11761" width="45.28515625" style="77" customWidth="1"/>
    <col min="11762" max="11762" width="14.85546875" style="77" customWidth="1"/>
    <col min="11763" max="11763" width="12.28515625" style="77" customWidth="1"/>
    <col min="11764" max="11765" width="11.140625" style="77" customWidth="1"/>
    <col min="11766" max="11766" width="12.42578125" style="77" customWidth="1"/>
    <col min="11767" max="11767" width="11.42578125" style="77" customWidth="1"/>
    <col min="11768" max="11768" width="13.5703125" style="77" customWidth="1"/>
    <col min="11769" max="12006" width="11.5703125" style="77"/>
    <col min="12007" max="12007" width="23.140625" style="77" customWidth="1"/>
    <col min="12008" max="12008" width="42.85546875" style="77" customWidth="1"/>
    <col min="12009" max="12009" width="11.5703125" style="77"/>
    <col min="12010" max="12010" width="11.28515625" style="77" customWidth="1"/>
    <col min="12011" max="12011" width="12.85546875" style="77" customWidth="1"/>
    <col min="12012" max="12012" width="12.140625" style="77" customWidth="1"/>
    <col min="12013" max="12013" width="11.7109375" style="77" customWidth="1"/>
    <col min="12014" max="12014" width="11.42578125" style="77" customWidth="1"/>
    <col min="12015" max="12015" width="12.7109375" style="77" customWidth="1"/>
    <col min="12016" max="12016" width="4.140625" style="77" customWidth="1"/>
    <col min="12017" max="12017" width="45.28515625" style="77" customWidth="1"/>
    <col min="12018" max="12018" width="14.85546875" style="77" customWidth="1"/>
    <col min="12019" max="12019" width="12.28515625" style="77" customWidth="1"/>
    <col min="12020" max="12021" width="11.140625" style="77" customWidth="1"/>
    <col min="12022" max="12022" width="12.42578125" style="77" customWidth="1"/>
    <col min="12023" max="12023" width="11.42578125" style="77" customWidth="1"/>
    <col min="12024" max="12024" width="13.5703125" style="77" customWidth="1"/>
    <col min="12025" max="12262" width="11.5703125" style="77"/>
    <col min="12263" max="12263" width="23.140625" style="77" customWidth="1"/>
    <col min="12264" max="12264" width="42.85546875" style="77" customWidth="1"/>
    <col min="12265" max="12265" width="11.5703125" style="77"/>
    <col min="12266" max="12266" width="11.28515625" style="77" customWidth="1"/>
    <col min="12267" max="12267" width="12.85546875" style="77" customWidth="1"/>
    <col min="12268" max="12268" width="12.140625" style="77" customWidth="1"/>
    <col min="12269" max="12269" width="11.7109375" style="77" customWidth="1"/>
    <col min="12270" max="12270" width="11.42578125" style="77" customWidth="1"/>
    <col min="12271" max="12271" width="12.7109375" style="77" customWidth="1"/>
    <col min="12272" max="12272" width="4.140625" style="77" customWidth="1"/>
    <col min="12273" max="12273" width="45.28515625" style="77" customWidth="1"/>
    <col min="12274" max="12274" width="14.85546875" style="77" customWidth="1"/>
    <col min="12275" max="12275" width="12.28515625" style="77" customWidth="1"/>
    <col min="12276" max="12277" width="11.140625" style="77" customWidth="1"/>
    <col min="12278" max="12278" width="12.42578125" style="77" customWidth="1"/>
    <col min="12279" max="12279" width="11.42578125" style="77" customWidth="1"/>
    <col min="12280" max="12280" width="13.5703125" style="77" customWidth="1"/>
    <col min="12281" max="12518" width="11.5703125" style="77"/>
    <col min="12519" max="12519" width="23.140625" style="77" customWidth="1"/>
    <col min="12520" max="12520" width="42.85546875" style="77" customWidth="1"/>
    <col min="12521" max="12521" width="11.5703125" style="77"/>
    <col min="12522" max="12522" width="11.28515625" style="77" customWidth="1"/>
    <col min="12523" max="12523" width="12.85546875" style="77" customWidth="1"/>
    <col min="12524" max="12524" width="12.140625" style="77" customWidth="1"/>
    <col min="12525" max="12525" width="11.7109375" style="77" customWidth="1"/>
    <col min="12526" max="12526" width="11.42578125" style="77" customWidth="1"/>
    <col min="12527" max="12527" width="12.7109375" style="77" customWidth="1"/>
    <col min="12528" max="12528" width="4.140625" style="77" customWidth="1"/>
    <col min="12529" max="12529" width="45.28515625" style="77" customWidth="1"/>
    <col min="12530" max="12530" width="14.85546875" style="77" customWidth="1"/>
    <col min="12531" max="12531" width="12.28515625" style="77" customWidth="1"/>
    <col min="12532" max="12533" width="11.140625" style="77" customWidth="1"/>
    <col min="12534" max="12534" width="12.42578125" style="77" customWidth="1"/>
    <col min="12535" max="12535" width="11.42578125" style="77" customWidth="1"/>
    <col min="12536" max="12536" width="13.5703125" style="77" customWidth="1"/>
    <col min="12537" max="12774" width="11.5703125" style="77"/>
    <col min="12775" max="12775" width="23.140625" style="77" customWidth="1"/>
    <col min="12776" max="12776" width="42.85546875" style="77" customWidth="1"/>
    <col min="12777" max="12777" width="11.5703125" style="77"/>
    <col min="12778" max="12778" width="11.28515625" style="77" customWidth="1"/>
    <col min="12779" max="12779" width="12.85546875" style="77" customWidth="1"/>
    <col min="12780" max="12780" width="12.140625" style="77" customWidth="1"/>
    <col min="12781" max="12781" width="11.7109375" style="77" customWidth="1"/>
    <col min="12782" max="12782" width="11.42578125" style="77" customWidth="1"/>
    <col min="12783" max="12783" width="12.7109375" style="77" customWidth="1"/>
    <col min="12784" max="12784" width="4.140625" style="77" customWidth="1"/>
    <col min="12785" max="12785" width="45.28515625" style="77" customWidth="1"/>
    <col min="12786" max="12786" width="14.85546875" style="77" customWidth="1"/>
    <col min="12787" max="12787" width="12.28515625" style="77" customWidth="1"/>
    <col min="12788" max="12789" width="11.140625" style="77" customWidth="1"/>
    <col min="12790" max="12790" width="12.42578125" style="77" customWidth="1"/>
    <col min="12791" max="12791" width="11.42578125" style="77" customWidth="1"/>
    <col min="12792" max="12792" width="13.5703125" style="77" customWidth="1"/>
    <col min="12793" max="13030" width="11.5703125" style="77"/>
    <col min="13031" max="13031" width="23.140625" style="77" customWidth="1"/>
    <col min="13032" max="13032" width="42.85546875" style="77" customWidth="1"/>
    <col min="13033" max="13033" width="11.5703125" style="77"/>
    <col min="13034" max="13034" width="11.28515625" style="77" customWidth="1"/>
    <col min="13035" max="13035" width="12.85546875" style="77" customWidth="1"/>
    <col min="13036" max="13036" width="12.140625" style="77" customWidth="1"/>
    <col min="13037" max="13037" width="11.7109375" style="77" customWidth="1"/>
    <col min="13038" max="13038" width="11.42578125" style="77" customWidth="1"/>
    <col min="13039" max="13039" width="12.7109375" style="77" customWidth="1"/>
    <col min="13040" max="13040" width="4.140625" style="77" customWidth="1"/>
    <col min="13041" max="13041" width="45.28515625" style="77" customWidth="1"/>
    <col min="13042" max="13042" width="14.85546875" style="77" customWidth="1"/>
    <col min="13043" max="13043" width="12.28515625" style="77" customWidth="1"/>
    <col min="13044" max="13045" width="11.140625" style="77" customWidth="1"/>
    <col min="13046" max="13046" width="12.42578125" style="77" customWidth="1"/>
    <col min="13047" max="13047" width="11.42578125" style="77" customWidth="1"/>
    <col min="13048" max="13048" width="13.5703125" style="77" customWidth="1"/>
    <col min="13049" max="13286" width="11.5703125" style="77"/>
    <col min="13287" max="13287" width="23.140625" style="77" customWidth="1"/>
    <col min="13288" max="13288" width="42.85546875" style="77" customWidth="1"/>
    <col min="13289" max="13289" width="11.5703125" style="77"/>
    <col min="13290" max="13290" width="11.28515625" style="77" customWidth="1"/>
    <col min="13291" max="13291" width="12.85546875" style="77" customWidth="1"/>
    <col min="13292" max="13292" width="12.140625" style="77" customWidth="1"/>
    <col min="13293" max="13293" width="11.7109375" style="77" customWidth="1"/>
    <col min="13294" max="13294" width="11.42578125" style="77" customWidth="1"/>
    <col min="13295" max="13295" width="12.7109375" style="77" customWidth="1"/>
    <col min="13296" max="13296" width="4.140625" style="77" customWidth="1"/>
    <col min="13297" max="13297" width="45.28515625" style="77" customWidth="1"/>
    <col min="13298" max="13298" width="14.85546875" style="77" customWidth="1"/>
    <col min="13299" max="13299" width="12.28515625" style="77" customWidth="1"/>
    <col min="13300" max="13301" width="11.140625" style="77" customWidth="1"/>
    <col min="13302" max="13302" width="12.42578125" style="77" customWidth="1"/>
    <col min="13303" max="13303" width="11.42578125" style="77" customWidth="1"/>
    <col min="13304" max="13304" width="13.5703125" style="77" customWidth="1"/>
    <col min="13305" max="13542" width="11.5703125" style="77"/>
    <col min="13543" max="13543" width="23.140625" style="77" customWidth="1"/>
    <col min="13544" max="13544" width="42.85546875" style="77" customWidth="1"/>
    <col min="13545" max="13545" width="11.5703125" style="77"/>
    <col min="13546" max="13546" width="11.28515625" style="77" customWidth="1"/>
    <col min="13547" max="13547" width="12.85546875" style="77" customWidth="1"/>
    <col min="13548" max="13548" width="12.140625" style="77" customWidth="1"/>
    <col min="13549" max="13549" width="11.7109375" style="77" customWidth="1"/>
    <col min="13550" max="13550" width="11.42578125" style="77" customWidth="1"/>
    <col min="13551" max="13551" width="12.7109375" style="77" customWidth="1"/>
    <col min="13552" max="13552" width="4.140625" style="77" customWidth="1"/>
    <col min="13553" max="13553" width="45.28515625" style="77" customWidth="1"/>
    <col min="13554" max="13554" width="14.85546875" style="77" customWidth="1"/>
    <col min="13555" max="13555" width="12.28515625" style="77" customWidth="1"/>
    <col min="13556" max="13557" width="11.140625" style="77" customWidth="1"/>
    <col min="13558" max="13558" width="12.42578125" style="77" customWidth="1"/>
    <col min="13559" max="13559" width="11.42578125" style="77" customWidth="1"/>
    <col min="13560" max="13560" width="13.5703125" style="77" customWidth="1"/>
    <col min="13561" max="13798" width="11.5703125" style="77"/>
    <col min="13799" max="13799" width="23.140625" style="77" customWidth="1"/>
    <col min="13800" max="13800" width="42.85546875" style="77" customWidth="1"/>
    <col min="13801" max="13801" width="11.5703125" style="77"/>
    <col min="13802" max="13802" width="11.28515625" style="77" customWidth="1"/>
    <col min="13803" max="13803" width="12.85546875" style="77" customWidth="1"/>
    <col min="13804" max="13804" width="12.140625" style="77" customWidth="1"/>
    <col min="13805" max="13805" width="11.7109375" style="77" customWidth="1"/>
    <col min="13806" max="13806" width="11.42578125" style="77" customWidth="1"/>
    <col min="13807" max="13807" width="12.7109375" style="77" customWidth="1"/>
    <col min="13808" max="13808" width="4.140625" style="77" customWidth="1"/>
    <col min="13809" max="13809" width="45.28515625" style="77" customWidth="1"/>
    <col min="13810" max="13810" width="14.85546875" style="77" customWidth="1"/>
    <col min="13811" max="13811" width="12.28515625" style="77" customWidth="1"/>
    <col min="13812" max="13813" width="11.140625" style="77" customWidth="1"/>
    <col min="13814" max="13814" width="12.42578125" style="77" customWidth="1"/>
    <col min="13815" max="13815" width="11.42578125" style="77" customWidth="1"/>
    <col min="13816" max="13816" width="13.5703125" style="77" customWidth="1"/>
    <col min="13817" max="14054" width="11.5703125" style="77"/>
    <col min="14055" max="14055" width="23.140625" style="77" customWidth="1"/>
    <col min="14056" max="14056" width="42.85546875" style="77" customWidth="1"/>
    <col min="14057" max="14057" width="11.5703125" style="77"/>
    <col min="14058" max="14058" width="11.28515625" style="77" customWidth="1"/>
    <col min="14059" max="14059" width="12.85546875" style="77" customWidth="1"/>
    <col min="14060" max="14060" width="12.140625" style="77" customWidth="1"/>
    <col min="14061" max="14061" width="11.7109375" style="77" customWidth="1"/>
    <col min="14062" max="14062" width="11.42578125" style="77" customWidth="1"/>
    <col min="14063" max="14063" width="12.7109375" style="77" customWidth="1"/>
    <col min="14064" max="14064" width="4.140625" style="77" customWidth="1"/>
    <col min="14065" max="14065" width="45.28515625" style="77" customWidth="1"/>
    <col min="14066" max="14066" width="14.85546875" style="77" customWidth="1"/>
    <col min="14067" max="14067" width="12.28515625" style="77" customWidth="1"/>
    <col min="14068" max="14069" width="11.140625" style="77" customWidth="1"/>
    <col min="14070" max="14070" width="12.42578125" style="77" customWidth="1"/>
    <col min="14071" max="14071" width="11.42578125" style="77" customWidth="1"/>
    <col min="14072" max="14072" width="13.5703125" style="77" customWidth="1"/>
    <col min="14073" max="14310" width="11.5703125" style="77"/>
    <col min="14311" max="14311" width="23.140625" style="77" customWidth="1"/>
    <col min="14312" max="14312" width="42.85546875" style="77" customWidth="1"/>
    <col min="14313" max="14313" width="11.5703125" style="77"/>
    <col min="14314" max="14314" width="11.28515625" style="77" customWidth="1"/>
    <col min="14315" max="14315" width="12.85546875" style="77" customWidth="1"/>
    <col min="14316" max="14316" width="12.140625" style="77" customWidth="1"/>
    <col min="14317" max="14317" width="11.7109375" style="77" customWidth="1"/>
    <col min="14318" max="14318" width="11.42578125" style="77" customWidth="1"/>
    <col min="14319" max="14319" width="12.7109375" style="77" customWidth="1"/>
    <col min="14320" max="14320" width="4.140625" style="77" customWidth="1"/>
    <col min="14321" max="14321" width="45.28515625" style="77" customWidth="1"/>
    <col min="14322" max="14322" width="14.85546875" style="77" customWidth="1"/>
    <col min="14323" max="14323" width="12.28515625" style="77" customWidth="1"/>
    <col min="14324" max="14325" width="11.140625" style="77" customWidth="1"/>
    <col min="14326" max="14326" width="12.42578125" style="77" customWidth="1"/>
    <col min="14327" max="14327" width="11.42578125" style="77" customWidth="1"/>
    <col min="14328" max="14328" width="13.5703125" style="77" customWidth="1"/>
    <col min="14329" max="14566" width="11.5703125" style="77"/>
    <col min="14567" max="14567" width="23.140625" style="77" customWidth="1"/>
    <col min="14568" max="14568" width="42.85546875" style="77" customWidth="1"/>
    <col min="14569" max="14569" width="11.5703125" style="77"/>
    <col min="14570" max="14570" width="11.28515625" style="77" customWidth="1"/>
    <col min="14571" max="14571" width="12.85546875" style="77" customWidth="1"/>
    <col min="14572" max="14572" width="12.140625" style="77" customWidth="1"/>
    <col min="14573" max="14573" width="11.7109375" style="77" customWidth="1"/>
    <col min="14574" max="14574" width="11.42578125" style="77" customWidth="1"/>
    <col min="14575" max="14575" width="12.7109375" style="77" customWidth="1"/>
    <col min="14576" max="14576" width="4.140625" style="77" customWidth="1"/>
    <col min="14577" max="14577" width="45.28515625" style="77" customWidth="1"/>
    <col min="14578" max="14578" width="14.85546875" style="77" customWidth="1"/>
    <col min="14579" max="14579" width="12.28515625" style="77" customWidth="1"/>
    <col min="14580" max="14581" width="11.140625" style="77" customWidth="1"/>
    <col min="14582" max="14582" width="12.42578125" style="77" customWidth="1"/>
    <col min="14583" max="14583" width="11.42578125" style="77" customWidth="1"/>
    <col min="14584" max="14584" width="13.5703125" style="77" customWidth="1"/>
    <col min="14585" max="14822" width="11.5703125" style="77"/>
    <col min="14823" max="14823" width="23.140625" style="77" customWidth="1"/>
    <col min="14824" max="14824" width="42.85546875" style="77" customWidth="1"/>
    <col min="14825" max="14825" width="11.5703125" style="77"/>
    <col min="14826" max="14826" width="11.28515625" style="77" customWidth="1"/>
    <col min="14827" max="14827" width="12.85546875" style="77" customWidth="1"/>
    <col min="14828" max="14828" width="12.140625" style="77" customWidth="1"/>
    <col min="14829" max="14829" width="11.7109375" style="77" customWidth="1"/>
    <col min="14830" max="14830" width="11.42578125" style="77" customWidth="1"/>
    <col min="14831" max="14831" width="12.7109375" style="77" customWidth="1"/>
    <col min="14832" max="14832" width="4.140625" style="77" customWidth="1"/>
    <col min="14833" max="14833" width="45.28515625" style="77" customWidth="1"/>
    <col min="14834" max="14834" width="14.85546875" style="77" customWidth="1"/>
    <col min="14835" max="14835" width="12.28515625" style="77" customWidth="1"/>
    <col min="14836" max="14837" width="11.140625" style="77" customWidth="1"/>
    <col min="14838" max="14838" width="12.42578125" style="77" customWidth="1"/>
    <col min="14839" max="14839" width="11.42578125" style="77" customWidth="1"/>
    <col min="14840" max="14840" width="13.5703125" style="77" customWidth="1"/>
    <col min="14841" max="15078" width="11.5703125" style="77"/>
    <col min="15079" max="15079" width="23.140625" style="77" customWidth="1"/>
    <col min="15080" max="15080" width="42.85546875" style="77" customWidth="1"/>
    <col min="15081" max="15081" width="11.5703125" style="77"/>
    <col min="15082" max="15082" width="11.28515625" style="77" customWidth="1"/>
    <col min="15083" max="15083" width="12.85546875" style="77" customWidth="1"/>
    <col min="15084" max="15084" width="12.140625" style="77" customWidth="1"/>
    <col min="15085" max="15085" width="11.7109375" style="77" customWidth="1"/>
    <col min="15086" max="15086" width="11.42578125" style="77" customWidth="1"/>
    <col min="15087" max="15087" width="12.7109375" style="77" customWidth="1"/>
    <col min="15088" max="15088" width="4.140625" style="77" customWidth="1"/>
    <col min="15089" max="15089" width="45.28515625" style="77" customWidth="1"/>
    <col min="15090" max="15090" width="14.85546875" style="77" customWidth="1"/>
    <col min="15091" max="15091" width="12.28515625" style="77" customWidth="1"/>
    <col min="15092" max="15093" width="11.140625" style="77" customWidth="1"/>
    <col min="15094" max="15094" width="12.42578125" style="77" customWidth="1"/>
    <col min="15095" max="15095" width="11.42578125" style="77" customWidth="1"/>
    <col min="15096" max="15096" width="13.5703125" style="77" customWidth="1"/>
    <col min="15097" max="15334" width="11.5703125" style="77"/>
    <col min="15335" max="15335" width="23.140625" style="77" customWidth="1"/>
    <col min="15336" max="15336" width="42.85546875" style="77" customWidth="1"/>
    <col min="15337" max="15337" width="11.5703125" style="77"/>
    <col min="15338" max="15338" width="11.28515625" style="77" customWidth="1"/>
    <col min="15339" max="15339" width="12.85546875" style="77" customWidth="1"/>
    <col min="15340" max="15340" width="12.140625" style="77" customWidth="1"/>
    <col min="15341" max="15341" width="11.7109375" style="77" customWidth="1"/>
    <col min="15342" max="15342" width="11.42578125" style="77" customWidth="1"/>
    <col min="15343" max="15343" width="12.7109375" style="77" customWidth="1"/>
    <col min="15344" max="15344" width="4.140625" style="77" customWidth="1"/>
    <col min="15345" max="15345" width="45.28515625" style="77" customWidth="1"/>
    <col min="15346" max="15346" width="14.85546875" style="77" customWidth="1"/>
    <col min="15347" max="15347" width="12.28515625" style="77" customWidth="1"/>
    <col min="15348" max="15349" width="11.140625" style="77" customWidth="1"/>
    <col min="15350" max="15350" width="12.42578125" style="77" customWidth="1"/>
    <col min="15351" max="15351" width="11.42578125" style="77" customWidth="1"/>
    <col min="15352" max="15352" width="13.5703125" style="77" customWidth="1"/>
    <col min="15353" max="15590" width="11.5703125" style="77"/>
    <col min="15591" max="15591" width="23.140625" style="77" customWidth="1"/>
    <col min="15592" max="15592" width="42.85546875" style="77" customWidth="1"/>
    <col min="15593" max="15593" width="11.5703125" style="77"/>
    <col min="15594" max="15594" width="11.28515625" style="77" customWidth="1"/>
    <col min="15595" max="15595" width="12.85546875" style="77" customWidth="1"/>
    <col min="15596" max="15596" width="12.140625" style="77" customWidth="1"/>
    <col min="15597" max="15597" width="11.7109375" style="77" customWidth="1"/>
    <col min="15598" max="15598" width="11.42578125" style="77" customWidth="1"/>
    <col min="15599" max="15599" width="12.7109375" style="77" customWidth="1"/>
    <col min="15600" max="15600" width="4.140625" style="77" customWidth="1"/>
    <col min="15601" max="15601" width="45.28515625" style="77" customWidth="1"/>
    <col min="15602" max="15602" width="14.85546875" style="77" customWidth="1"/>
    <col min="15603" max="15603" width="12.28515625" style="77" customWidth="1"/>
    <col min="15604" max="15605" width="11.140625" style="77" customWidth="1"/>
    <col min="15606" max="15606" width="12.42578125" style="77" customWidth="1"/>
    <col min="15607" max="15607" width="11.42578125" style="77" customWidth="1"/>
    <col min="15608" max="15608" width="13.5703125" style="77" customWidth="1"/>
    <col min="15609" max="15846" width="11.5703125" style="77"/>
    <col min="15847" max="15847" width="23.140625" style="77" customWidth="1"/>
    <col min="15848" max="15848" width="42.85546875" style="77" customWidth="1"/>
    <col min="15849" max="15849" width="11.5703125" style="77"/>
    <col min="15850" max="15850" width="11.28515625" style="77" customWidth="1"/>
    <col min="15851" max="15851" width="12.85546875" style="77" customWidth="1"/>
    <col min="15852" max="15852" width="12.140625" style="77" customWidth="1"/>
    <col min="15853" max="15853" width="11.7109375" style="77" customWidth="1"/>
    <col min="15854" max="15854" width="11.42578125" style="77" customWidth="1"/>
    <col min="15855" max="15855" width="12.7109375" style="77" customWidth="1"/>
    <col min="15856" max="15856" width="4.140625" style="77" customWidth="1"/>
    <col min="15857" max="15857" width="45.28515625" style="77" customWidth="1"/>
    <col min="15858" max="15858" width="14.85546875" style="77" customWidth="1"/>
    <col min="15859" max="15859" width="12.28515625" style="77" customWidth="1"/>
    <col min="15860" max="15861" width="11.140625" style="77" customWidth="1"/>
    <col min="15862" max="15862" width="12.42578125" style="77" customWidth="1"/>
    <col min="15863" max="15863" width="11.42578125" style="77" customWidth="1"/>
    <col min="15864" max="15864" width="13.5703125" style="77" customWidth="1"/>
    <col min="15865" max="16102" width="11.5703125" style="77"/>
    <col min="16103" max="16103" width="23.140625" style="77" customWidth="1"/>
    <col min="16104" max="16104" width="42.85546875" style="77" customWidth="1"/>
    <col min="16105" max="16105" width="11.5703125" style="77"/>
    <col min="16106" max="16106" width="11.28515625" style="77" customWidth="1"/>
    <col min="16107" max="16107" width="12.85546875" style="77" customWidth="1"/>
    <col min="16108" max="16108" width="12.140625" style="77" customWidth="1"/>
    <col min="16109" max="16109" width="11.7109375" style="77" customWidth="1"/>
    <col min="16110" max="16110" width="11.42578125" style="77" customWidth="1"/>
    <col min="16111" max="16111" width="12.7109375" style="77" customWidth="1"/>
    <col min="16112" max="16112" width="4.140625" style="77" customWidth="1"/>
    <col min="16113" max="16113" width="45.28515625" style="77" customWidth="1"/>
    <col min="16114" max="16114" width="14.85546875" style="77" customWidth="1"/>
    <col min="16115" max="16115" width="12.28515625" style="77" customWidth="1"/>
    <col min="16116" max="16117" width="11.140625" style="77" customWidth="1"/>
    <col min="16118" max="16118" width="12.42578125" style="77" customWidth="1"/>
    <col min="16119" max="16119" width="11.42578125" style="77" customWidth="1"/>
    <col min="16120" max="16120" width="13.5703125" style="77" customWidth="1"/>
    <col min="16121" max="16384" width="11.5703125" style="77"/>
  </cols>
  <sheetData>
    <row r="1" spans="1:5" ht="18.75" x14ac:dyDescent="0.3">
      <c r="A1" s="1" t="s">
        <v>0</v>
      </c>
      <c r="B1" s="12" t="s">
        <v>11</v>
      </c>
      <c r="C1" s="1"/>
      <c r="D1" s="1"/>
      <c r="E1" s="1"/>
    </row>
    <row r="2" spans="1:5" ht="18.75" x14ac:dyDescent="0.3">
      <c r="A2" s="2" t="s">
        <v>10</v>
      </c>
      <c r="B2" s="2"/>
      <c r="C2" s="2"/>
      <c r="D2" s="2"/>
      <c r="E2" s="2"/>
    </row>
    <row r="3" spans="1:5" ht="18.75" x14ac:dyDescent="0.3">
      <c r="A3" s="2" t="s">
        <v>201</v>
      </c>
      <c r="B3" s="2"/>
      <c r="C3" s="2"/>
      <c r="D3" s="2"/>
      <c r="E3" s="2"/>
    </row>
    <row r="4" spans="1:5" ht="18.75" x14ac:dyDescent="0.3">
      <c r="A4" s="2" t="s">
        <v>227</v>
      </c>
      <c r="B4" s="2"/>
      <c r="C4" s="2"/>
      <c r="D4" s="2"/>
      <c r="E4" s="2"/>
    </row>
    <row r="5" spans="1:5" ht="18.75" x14ac:dyDescent="0.3">
      <c r="A5" s="2"/>
      <c r="B5" s="2"/>
      <c r="C5" s="2"/>
      <c r="D5" s="2"/>
      <c r="E5" s="2"/>
    </row>
    <row r="6" spans="1:5" ht="18.75" x14ac:dyDescent="0.3">
      <c r="A6" s="2" t="s">
        <v>132</v>
      </c>
      <c r="B6" s="2"/>
      <c r="C6" s="2"/>
      <c r="D6" s="2"/>
      <c r="E6" s="2"/>
    </row>
    <row r="7" spans="1:5" ht="18.75" x14ac:dyDescent="0.3">
      <c r="A7" s="14" t="s">
        <v>134</v>
      </c>
      <c r="B7" s="14"/>
      <c r="C7" s="14"/>
      <c r="D7" s="14"/>
      <c r="E7" s="14"/>
    </row>
    <row r="8" spans="1:5" ht="18.75" x14ac:dyDescent="0.3">
      <c r="A8" s="13" t="s">
        <v>12</v>
      </c>
      <c r="B8" s="2"/>
      <c r="C8" s="2"/>
      <c r="D8" s="2"/>
      <c r="E8" s="2"/>
    </row>
    <row r="9" spans="1:5" ht="18.75" x14ac:dyDescent="0.3">
      <c r="A9" s="2"/>
      <c r="B9" s="2"/>
      <c r="C9" s="2"/>
      <c r="D9" s="2"/>
      <c r="E9" s="2"/>
    </row>
    <row r="10" spans="1:5" ht="18.75" x14ac:dyDescent="0.3">
      <c r="A10" s="14" t="s">
        <v>14</v>
      </c>
      <c r="B10" s="14"/>
      <c r="C10" s="14"/>
      <c r="D10" s="14"/>
      <c r="E10" s="14"/>
    </row>
    <row r="11" spans="1:5" ht="18.75" x14ac:dyDescent="0.3">
      <c r="A11" s="13" t="s">
        <v>13</v>
      </c>
      <c r="B11" s="2"/>
      <c r="C11" s="2"/>
      <c r="D11" s="2"/>
      <c r="E11" s="2"/>
    </row>
    <row r="12" spans="1:5" ht="18.75" x14ac:dyDescent="0.3">
      <c r="A12" s="13"/>
      <c r="B12" s="2"/>
      <c r="C12" s="2"/>
      <c r="D12" s="2"/>
      <c r="E12" s="2"/>
    </row>
    <row r="13" spans="1:5" ht="18.75" x14ac:dyDescent="0.3">
      <c r="A13" s="14"/>
      <c r="B13" s="60" t="s">
        <v>133</v>
      </c>
      <c r="C13" s="14"/>
      <c r="D13" s="14"/>
      <c r="E13" s="14"/>
    </row>
    <row r="14" spans="1:5" ht="18.75" x14ac:dyDescent="0.3">
      <c r="A14" s="13" t="s">
        <v>15</v>
      </c>
      <c r="B14" s="2"/>
      <c r="C14" s="2"/>
      <c r="D14" s="2"/>
      <c r="E14" s="2"/>
    </row>
    <row r="15" spans="1:5" ht="18.75" x14ac:dyDescent="0.3">
      <c r="A15" s="2"/>
      <c r="B15" s="2"/>
      <c r="C15" s="2"/>
      <c r="D15" s="2"/>
      <c r="E15" s="2"/>
    </row>
    <row r="16" spans="1:5" ht="19.5" x14ac:dyDescent="0.35">
      <c r="A16" s="15" t="s">
        <v>22</v>
      </c>
      <c r="B16" s="15"/>
      <c r="C16" s="15"/>
      <c r="D16" s="15"/>
      <c r="E16" s="15"/>
    </row>
    <row r="17" spans="1:8" ht="19.5" x14ac:dyDescent="0.35">
      <c r="A17" s="16" t="s">
        <v>16</v>
      </c>
      <c r="B17" s="16"/>
      <c r="C17" s="16"/>
      <c r="D17" s="16"/>
      <c r="E17" s="16"/>
    </row>
    <row r="18" spans="1:8" ht="18.75" x14ac:dyDescent="0.3">
      <c r="A18" s="13" t="s">
        <v>17</v>
      </c>
      <c r="B18" s="13"/>
      <c r="C18" s="13"/>
      <c r="D18" s="13"/>
      <c r="E18" s="13"/>
    </row>
    <row r="19" spans="1:8" ht="18.75" x14ac:dyDescent="0.3">
      <c r="A19" s="2"/>
      <c r="B19" s="2"/>
      <c r="C19" s="2"/>
      <c r="D19" s="2"/>
      <c r="E19" s="2"/>
    </row>
    <row r="20" spans="1:8" ht="18.75" x14ac:dyDescent="0.3">
      <c r="A20" s="14" t="s">
        <v>135</v>
      </c>
      <c r="B20" s="14"/>
      <c r="C20" s="14"/>
      <c r="D20" s="14"/>
      <c r="E20" s="14"/>
    </row>
    <row r="21" spans="1:8" ht="18.75" x14ac:dyDescent="0.3">
      <c r="A21" s="13" t="s">
        <v>18</v>
      </c>
      <c r="B21" s="2"/>
      <c r="C21" s="2"/>
      <c r="D21" s="2"/>
      <c r="E21" s="2"/>
    </row>
    <row r="22" spans="1:8" ht="18.75" x14ac:dyDescent="0.3">
      <c r="A22" s="2"/>
      <c r="B22" s="2"/>
      <c r="C22" s="2"/>
      <c r="D22" s="2"/>
      <c r="E22" s="2"/>
    </row>
    <row r="23" spans="1:8" ht="19.5" x14ac:dyDescent="0.35">
      <c r="A23" s="15" t="s">
        <v>19</v>
      </c>
      <c r="B23" s="15"/>
      <c r="C23" s="15"/>
      <c r="D23" s="15"/>
      <c r="E23" s="15"/>
    </row>
    <row r="24" spans="1:8" ht="19.5" x14ac:dyDescent="0.35">
      <c r="A24" s="15" t="s">
        <v>20</v>
      </c>
      <c r="B24" s="15"/>
      <c r="C24" s="15"/>
      <c r="D24" s="15"/>
      <c r="E24" s="15"/>
    </row>
    <row r="25" spans="1:8" ht="19.5" x14ac:dyDescent="0.35">
      <c r="A25" s="15" t="s">
        <v>202</v>
      </c>
      <c r="B25" s="15"/>
      <c r="C25" s="15"/>
      <c r="D25" s="15"/>
      <c r="E25" s="15"/>
    </row>
    <row r="26" spans="1:8" ht="18.75" x14ac:dyDescent="0.3">
      <c r="A26" s="2"/>
      <c r="B26" s="2"/>
      <c r="C26" s="2"/>
      <c r="D26" s="2"/>
      <c r="E26" s="2"/>
    </row>
    <row r="27" spans="1:8" ht="18.75" x14ac:dyDescent="0.3">
      <c r="A27" s="1" t="s">
        <v>228</v>
      </c>
      <c r="B27" s="2"/>
      <c r="C27" s="2"/>
      <c r="D27" s="2"/>
      <c r="E27" s="2"/>
    </row>
    <row r="30" spans="1:8" ht="18.75" x14ac:dyDescent="0.3">
      <c r="A30" s="2" t="s">
        <v>229</v>
      </c>
      <c r="B30" s="1"/>
      <c r="C30" s="1"/>
      <c r="D30" s="1"/>
      <c r="E30" s="1"/>
      <c r="F30" s="1"/>
      <c r="G30" s="78"/>
      <c r="H30" s="78"/>
    </row>
    <row r="31" spans="1:8" ht="18.75" x14ac:dyDescent="0.3">
      <c r="A31" s="1" t="s">
        <v>197</v>
      </c>
      <c r="B31" s="1"/>
      <c r="C31" s="1"/>
      <c r="D31" s="1"/>
      <c r="E31" s="1"/>
      <c r="F31" s="1"/>
      <c r="G31" s="78"/>
      <c r="H31" s="78"/>
    </row>
    <row r="32" spans="1:8" ht="15.75" x14ac:dyDescent="0.25">
      <c r="A32" s="78"/>
      <c r="B32" s="5" t="s">
        <v>0</v>
      </c>
      <c r="C32" s="5"/>
      <c r="D32" s="5"/>
      <c r="E32" s="5"/>
      <c r="F32" s="5"/>
      <c r="G32" s="5"/>
      <c r="H32" s="5"/>
    </row>
    <row r="33" spans="1:28" ht="15.75" x14ac:dyDescent="0.25">
      <c r="A33" s="72"/>
      <c r="B33" s="23"/>
      <c r="C33" s="23"/>
      <c r="D33" s="23"/>
      <c r="E33" s="22" t="s">
        <v>37</v>
      </c>
      <c r="F33" s="19"/>
      <c r="G33" s="18" t="s">
        <v>36</v>
      </c>
      <c r="H33" s="19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73"/>
      <c r="B34" s="26"/>
      <c r="C34" s="24"/>
      <c r="D34" s="24"/>
      <c r="E34" s="17"/>
      <c r="F34" s="10"/>
      <c r="G34" s="20"/>
      <c r="H34" s="10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73" t="s">
        <v>23</v>
      </c>
      <c r="B35" s="26" t="s">
        <v>25</v>
      </c>
      <c r="C35" s="24" t="s">
        <v>26</v>
      </c>
      <c r="D35" s="24" t="s">
        <v>32</v>
      </c>
      <c r="E35" s="9" t="s">
        <v>41</v>
      </c>
      <c r="F35" s="43" t="s">
        <v>129</v>
      </c>
      <c r="G35" s="29" t="s">
        <v>41</v>
      </c>
      <c r="H35" s="29" t="s">
        <v>129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73" t="s">
        <v>24</v>
      </c>
      <c r="B36" s="26"/>
      <c r="C36" s="24" t="s">
        <v>27</v>
      </c>
      <c r="D36" s="24" t="s">
        <v>33</v>
      </c>
      <c r="E36" s="9" t="s">
        <v>40</v>
      </c>
      <c r="F36" s="43" t="s">
        <v>130</v>
      </c>
      <c r="G36" s="24" t="s">
        <v>40</v>
      </c>
      <c r="H36" s="24" t="s">
        <v>130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73"/>
      <c r="B37" s="26"/>
      <c r="C37" s="25" t="s">
        <v>28</v>
      </c>
      <c r="D37" s="25" t="s">
        <v>34</v>
      </c>
      <c r="E37" s="87" t="s">
        <v>28</v>
      </c>
      <c r="F37" s="7"/>
      <c r="G37" s="25" t="s">
        <v>28</v>
      </c>
      <c r="H37" s="25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73"/>
      <c r="B38" s="26"/>
      <c r="C38" s="25" t="s">
        <v>29</v>
      </c>
      <c r="D38" s="25" t="s">
        <v>28</v>
      </c>
      <c r="E38" s="87" t="s">
        <v>42</v>
      </c>
      <c r="F38" s="7"/>
      <c r="G38" s="25" t="s">
        <v>42</v>
      </c>
      <c r="H38" s="25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73"/>
      <c r="B39" s="26"/>
      <c r="C39" s="25"/>
      <c r="D39" s="25" t="s">
        <v>35</v>
      </c>
      <c r="E39" s="87" t="s">
        <v>38</v>
      </c>
      <c r="F39" s="7"/>
      <c r="G39" s="25" t="s">
        <v>38</v>
      </c>
      <c r="H39" s="25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73"/>
      <c r="B40" s="26"/>
      <c r="C40" s="25"/>
      <c r="D40" s="25" t="s">
        <v>1</v>
      </c>
      <c r="E40" s="87" t="s">
        <v>39</v>
      </c>
      <c r="F40" s="7" t="s">
        <v>1</v>
      </c>
      <c r="G40" s="25" t="s">
        <v>39</v>
      </c>
      <c r="H40" s="25" t="s">
        <v>1</v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20"/>
      <c r="B41" s="27"/>
      <c r="C41" s="66"/>
      <c r="D41" s="66"/>
      <c r="E41" s="89"/>
      <c r="F41" s="88"/>
      <c r="G41" s="39"/>
      <c r="H41" s="66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40">
        <v>1</v>
      </c>
      <c r="B42" s="44">
        <v>2</v>
      </c>
      <c r="C42" s="45">
        <v>3</v>
      </c>
      <c r="D42" s="36">
        <v>4</v>
      </c>
      <c r="E42" s="21">
        <v>5</v>
      </c>
      <c r="F42" s="45">
        <v>6</v>
      </c>
      <c r="G42" s="36">
        <v>7</v>
      </c>
      <c r="H42" s="21">
        <v>8</v>
      </c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6.5" customHeight="1" x14ac:dyDescent="0.25">
      <c r="A43" s="67">
        <v>1</v>
      </c>
      <c r="B43" s="28" t="s">
        <v>30</v>
      </c>
      <c r="C43" s="46" t="s">
        <v>39</v>
      </c>
      <c r="D43" s="29">
        <v>4.24</v>
      </c>
      <c r="E43" s="49">
        <v>12413.7</v>
      </c>
      <c r="F43" s="56">
        <f>D43*E43*1.96428571428</f>
        <v>103388.38714255638</v>
      </c>
      <c r="G43" s="49">
        <v>12413.7</v>
      </c>
      <c r="H43" s="8">
        <f>D43*G43*1.96428571428</f>
        <v>103388.38714255638</v>
      </c>
      <c r="I43" s="92">
        <f>F43-H43</f>
        <v>0</v>
      </c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6.5" customHeight="1" x14ac:dyDescent="0.25">
      <c r="A44" s="76"/>
      <c r="B44" s="26" t="s">
        <v>31</v>
      </c>
      <c r="C44" s="43"/>
      <c r="D44" s="24"/>
      <c r="E44" s="9"/>
      <c r="F44" s="24"/>
      <c r="G44" s="9"/>
      <c r="H44" s="9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65"/>
      <c r="B45" s="27"/>
      <c r="C45" s="50"/>
      <c r="D45" s="48"/>
      <c r="E45" s="10"/>
      <c r="F45" s="48"/>
      <c r="G45" s="10"/>
      <c r="H45" s="10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67">
        <v>2</v>
      </c>
      <c r="B46" s="28" t="s">
        <v>30</v>
      </c>
      <c r="C46" s="46" t="s">
        <v>39</v>
      </c>
      <c r="D46" s="51">
        <v>4.96</v>
      </c>
      <c r="E46" s="49">
        <v>12413.7</v>
      </c>
      <c r="F46" s="56">
        <f>D46*E46*1.96428571428</f>
        <v>120944.90571393388</v>
      </c>
      <c r="G46" s="49">
        <v>12413.7</v>
      </c>
      <c r="H46" s="8">
        <f>D46*G46*1.96428571428</f>
        <v>120944.90571393388</v>
      </c>
      <c r="I46" s="92">
        <f>F46-H46</f>
        <v>0</v>
      </c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76"/>
      <c r="B47" s="26" t="s">
        <v>43</v>
      </c>
      <c r="C47" s="90"/>
      <c r="D47" s="52"/>
      <c r="E47" s="9"/>
      <c r="F47" s="24"/>
      <c r="G47" s="9"/>
      <c r="H47" s="9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x14ac:dyDescent="0.25">
      <c r="A48" s="76"/>
      <c r="B48" s="26" t="s">
        <v>97</v>
      </c>
      <c r="C48" s="90"/>
      <c r="D48" s="52"/>
      <c r="E48" s="9"/>
      <c r="F48" s="24"/>
      <c r="G48" s="9"/>
      <c r="H48" s="9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x14ac:dyDescent="0.25">
      <c r="A49" s="76"/>
      <c r="B49" s="26" t="s">
        <v>3</v>
      </c>
      <c r="C49" s="90"/>
      <c r="D49" s="52"/>
      <c r="E49" s="9"/>
      <c r="F49" s="24"/>
      <c r="G49" s="9"/>
      <c r="H49" s="9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x14ac:dyDescent="0.25">
      <c r="A50" s="65"/>
      <c r="B50" s="27"/>
      <c r="C50" s="17"/>
      <c r="D50" s="27"/>
      <c r="E50" s="10"/>
      <c r="F50" s="48"/>
      <c r="G50" s="10"/>
      <c r="H50" s="10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x14ac:dyDescent="0.25">
      <c r="A51" s="67">
        <v>3</v>
      </c>
      <c r="B51" s="28" t="s">
        <v>107</v>
      </c>
      <c r="C51" s="46" t="s">
        <v>39</v>
      </c>
      <c r="D51" s="29">
        <v>1.22</v>
      </c>
      <c r="E51" s="49">
        <v>12413.7</v>
      </c>
      <c r="F51" s="56">
        <f>D51*E51*1.96428571428</f>
        <v>29748.545357056319</v>
      </c>
      <c r="G51" s="49">
        <v>12413.7</v>
      </c>
      <c r="H51" s="8">
        <f>D51*G51*1.96428571428</f>
        <v>29748.545357056319</v>
      </c>
      <c r="I51" s="92">
        <f>F51-H51</f>
        <v>0</v>
      </c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x14ac:dyDescent="0.25">
      <c r="A52" s="76"/>
      <c r="B52" s="26" t="s">
        <v>2</v>
      </c>
      <c r="C52" s="43"/>
      <c r="D52" s="24"/>
      <c r="E52" s="9"/>
      <c r="F52" s="24"/>
      <c r="G52" s="9"/>
      <c r="H52" s="9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x14ac:dyDescent="0.25">
      <c r="A53" s="65"/>
      <c r="B53" s="27"/>
      <c r="C53" s="50"/>
      <c r="D53" s="48"/>
      <c r="E53" s="10"/>
      <c r="F53" s="48"/>
      <c r="G53" s="10"/>
      <c r="H53" s="10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x14ac:dyDescent="0.25">
      <c r="A54" s="76">
        <v>4</v>
      </c>
      <c r="B54" s="26" t="s">
        <v>108</v>
      </c>
      <c r="C54" s="43" t="s">
        <v>39</v>
      </c>
      <c r="D54" s="24">
        <v>0.33</v>
      </c>
      <c r="E54" s="49">
        <v>12413.7</v>
      </c>
      <c r="F54" s="56">
        <f>D54*E54*1.96428571428</f>
        <v>8046.7376785480219</v>
      </c>
      <c r="G54" s="49">
        <v>12413.7</v>
      </c>
      <c r="H54" s="8">
        <f>D54*E54*1.96428571428</f>
        <v>8046.7376785480219</v>
      </c>
      <c r="I54" s="92">
        <f>F54-H54</f>
        <v>0</v>
      </c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x14ac:dyDescent="0.25">
      <c r="A55" s="76"/>
      <c r="B55" s="26" t="s">
        <v>98</v>
      </c>
      <c r="C55" s="43"/>
      <c r="D55" s="24"/>
      <c r="E55" s="9"/>
      <c r="F55" s="24"/>
      <c r="G55" s="9"/>
      <c r="H55" s="9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x14ac:dyDescent="0.25">
      <c r="A56" s="76"/>
      <c r="B56" s="26"/>
      <c r="C56" s="43"/>
      <c r="D56" s="24"/>
      <c r="E56" s="9"/>
      <c r="F56" s="24"/>
      <c r="G56" s="9"/>
      <c r="H56" s="9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x14ac:dyDescent="0.25">
      <c r="A57" s="67">
        <v>5</v>
      </c>
      <c r="B57" s="28" t="s">
        <v>109</v>
      </c>
      <c r="C57" s="46" t="s">
        <v>39</v>
      </c>
      <c r="D57" s="29">
        <v>3.55</v>
      </c>
      <c r="E57" s="49">
        <v>12413.7</v>
      </c>
      <c r="F57" s="56">
        <f>D57*E57*1.96428571428</f>
        <v>86563.39017831962</v>
      </c>
      <c r="G57" s="49">
        <v>12413.7</v>
      </c>
      <c r="H57" s="8">
        <f>D57*G57*1.96428571428</f>
        <v>86563.39017831962</v>
      </c>
      <c r="I57" s="92">
        <f>F57-H57</f>
        <v>0</v>
      </c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x14ac:dyDescent="0.25">
      <c r="A58" s="76"/>
      <c r="B58" s="26" t="s">
        <v>4</v>
      </c>
      <c r="C58" s="43"/>
      <c r="D58" s="24"/>
      <c r="E58" s="53"/>
      <c r="F58" s="55"/>
      <c r="G58" s="53"/>
      <c r="H58" s="54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x14ac:dyDescent="0.25">
      <c r="A59" s="76"/>
      <c r="B59" s="26" t="s">
        <v>5</v>
      </c>
      <c r="C59" s="43"/>
      <c r="D59" s="24"/>
      <c r="E59" s="53"/>
      <c r="F59" s="55"/>
      <c r="G59" s="53"/>
      <c r="H59" s="54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x14ac:dyDescent="0.25">
      <c r="A60" s="65"/>
      <c r="B60" s="27"/>
      <c r="C60" s="50"/>
      <c r="D60" s="48"/>
      <c r="E60" s="10"/>
      <c r="F60" s="48"/>
      <c r="G60" s="10"/>
      <c r="H60" s="10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x14ac:dyDescent="0.25">
      <c r="A61" s="76">
        <v>6</v>
      </c>
      <c r="B61" s="26" t="s">
        <v>110</v>
      </c>
      <c r="C61" s="43" t="s">
        <v>39</v>
      </c>
      <c r="D61" s="55">
        <v>4.75</v>
      </c>
      <c r="E61" s="49">
        <v>12413.7</v>
      </c>
      <c r="F61" s="56">
        <f>D61*E61*1.96428571428</f>
        <v>115824.25446394879</v>
      </c>
      <c r="G61" s="49">
        <v>12413.7</v>
      </c>
      <c r="H61" s="8">
        <f>D61*E61*1.96428571428</f>
        <v>115824.25446394879</v>
      </c>
      <c r="I61" s="92">
        <f>F61-H61</f>
        <v>0</v>
      </c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x14ac:dyDescent="0.25">
      <c r="A62" s="76"/>
      <c r="B62" s="26" t="s">
        <v>6</v>
      </c>
      <c r="C62" s="43"/>
      <c r="D62" s="24"/>
      <c r="E62" s="9"/>
      <c r="F62" s="24"/>
      <c r="G62" s="9"/>
      <c r="H62" s="9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x14ac:dyDescent="0.25">
      <c r="A63" s="76"/>
      <c r="B63" s="26"/>
      <c r="C63" s="43"/>
      <c r="D63" s="24"/>
      <c r="E63" s="9"/>
      <c r="F63" s="24"/>
      <c r="G63" s="9"/>
      <c r="H63" s="9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x14ac:dyDescent="0.25">
      <c r="A64" s="67">
        <v>7</v>
      </c>
      <c r="B64" s="28" t="s">
        <v>186</v>
      </c>
      <c r="C64" s="46" t="s">
        <v>39</v>
      </c>
      <c r="D64" s="29">
        <v>0.21</v>
      </c>
      <c r="E64" s="49">
        <v>12413.7</v>
      </c>
      <c r="F64" s="56">
        <f>D64*E64*1.96428571428</f>
        <v>5120.6512499851033</v>
      </c>
      <c r="G64" s="49">
        <v>12413.7</v>
      </c>
      <c r="H64" s="8">
        <f>D64*E64*1.96428571428</f>
        <v>5120.6512499851033</v>
      </c>
      <c r="I64" s="92">
        <f>F64-H64</f>
        <v>0</v>
      </c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x14ac:dyDescent="0.25">
      <c r="A65" s="65"/>
      <c r="B65" s="27"/>
      <c r="C65" s="50"/>
      <c r="D65" s="48"/>
      <c r="E65" s="10"/>
      <c r="F65" s="48"/>
      <c r="G65" s="10"/>
      <c r="H65" s="10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x14ac:dyDescent="0.25">
      <c r="A66" s="67">
        <v>8</v>
      </c>
      <c r="B66" s="28" t="s">
        <v>187</v>
      </c>
      <c r="C66" s="46" t="s">
        <v>39</v>
      </c>
      <c r="D66" s="29">
        <v>2.25</v>
      </c>
      <c r="E66" s="49">
        <v>12413.7</v>
      </c>
      <c r="F66" s="56">
        <f>D66*E66*1.96428571428</f>
        <v>54864.120535554684</v>
      </c>
      <c r="G66" s="49">
        <v>12413.7</v>
      </c>
      <c r="H66" s="30">
        <v>44226.76</v>
      </c>
      <c r="I66" s="92">
        <f>F66-H66</f>
        <v>10637.360535554682</v>
      </c>
      <c r="J66" s="91" t="s">
        <v>7</v>
      </c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x14ac:dyDescent="0.25">
      <c r="A67" s="65"/>
      <c r="B67" s="27"/>
      <c r="C67" s="50"/>
      <c r="D67" s="48"/>
      <c r="E67" s="10"/>
      <c r="F67" s="48"/>
      <c r="G67" s="10"/>
      <c r="H67" s="10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x14ac:dyDescent="0.25">
      <c r="A68" s="76">
        <v>9</v>
      </c>
      <c r="B68" s="26" t="s">
        <v>188</v>
      </c>
      <c r="C68" s="43" t="s">
        <v>39</v>
      </c>
      <c r="D68" s="24">
        <v>0.23</v>
      </c>
      <c r="E68" s="49">
        <v>12413.7</v>
      </c>
      <c r="F68" s="56">
        <f>D68*E68*1.96428571428</f>
        <v>5608.3323214122574</v>
      </c>
      <c r="G68" s="49">
        <v>12413.7</v>
      </c>
      <c r="H68" s="30">
        <f>D68*E68*1.96428571428</f>
        <v>5608.3323214122574</v>
      </c>
      <c r="I68" s="92">
        <f>F68-H68</f>
        <v>0</v>
      </c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x14ac:dyDescent="0.25">
      <c r="A69" s="76"/>
      <c r="B69" s="26" t="s">
        <v>189</v>
      </c>
      <c r="C69" s="43"/>
      <c r="D69" s="24"/>
      <c r="E69" s="9"/>
      <c r="F69" s="24"/>
      <c r="G69" s="9"/>
      <c r="H69" s="9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x14ac:dyDescent="0.25">
      <c r="A70" s="67">
        <v>10</v>
      </c>
      <c r="B70" s="28" t="s">
        <v>111</v>
      </c>
      <c r="C70" s="46" t="s">
        <v>39</v>
      </c>
      <c r="D70" s="56">
        <v>0.04</v>
      </c>
      <c r="E70" s="49">
        <v>12413.7</v>
      </c>
      <c r="F70" s="56">
        <f>D70*E70*1.96428571428</f>
        <v>975.3621428543056</v>
      </c>
      <c r="G70" s="49">
        <v>12413.7</v>
      </c>
      <c r="H70" s="8">
        <f>2283.6+35.45</f>
        <v>2319.0499999999997</v>
      </c>
      <c r="I70" s="92">
        <f>F70-H70</f>
        <v>-1343.6878571456941</v>
      </c>
      <c r="J70" s="91" t="s">
        <v>207</v>
      </c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x14ac:dyDescent="0.25">
      <c r="A71" s="65"/>
      <c r="B71" s="27"/>
      <c r="C71" s="50"/>
      <c r="D71" s="48"/>
      <c r="E71" s="10"/>
      <c r="F71" s="48"/>
      <c r="G71" s="10"/>
      <c r="H71" s="10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x14ac:dyDescent="0.25">
      <c r="A72" s="76">
        <v>11</v>
      </c>
      <c r="B72" s="26" t="s">
        <v>99</v>
      </c>
      <c r="C72" s="43" t="s">
        <v>39</v>
      </c>
      <c r="D72" s="55">
        <v>0</v>
      </c>
      <c r="E72" s="49">
        <v>12413.7</v>
      </c>
      <c r="F72" s="56">
        <f>D72*E72*1.96428571428</f>
        <v>0</v>
      </c>
      <c r="G72" s="49">
        <v>12413.7</v>
      </c>
      <c r="H72" s="8">
        <v>0</v>
      </c>
      <c r="I72" s="92">
        <f>F72-H72</f>
        <v>0</v>
      </c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x14ac:dyDescent="0.25">
      <c r="A73" s="76"/>
      <c r="B73" s="26" t="s">
        <v>100</v>
      </c>
      <c r="C73" s="43"/>
      <c r="D73" s="24"/>
      <c r="E73" s="9"/>
      <c r="F73" s="24"/>
      <c r="G73" s="9"/>
      <c r="H73" s="9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x14ac:dyDescent="0.25">
      <c r="A74" s="29">
        <v>12</v>
      </c>
      <c r="B74" s="28" t="s">
        <v>101</v>
      </c>
      <c r="C74" s="46" t="s">
        <v>39</v>
      </c>
      <c r="D74" s="56">
        <v>4.5</v>
      </c>
      <c r="E74" s="49">
        <v>12413.7</v>
      </c>
      <c r="F74" s="56">
        <f>D74*E74*1.96428571428</f>
        <v>109728.24107110937</v>
      </c>
      <c r="G74" s="49">
        <v>12413.7</v>
      </c>
      <c r="H74" s="56">
        <v>556363.84</v>
      </c>
      <c r="I74" s="92">
        <f>F74-H74</f>
        <v>-446635.5989288906</v>
      </c>
      <c r="J74" s="91" t="s">
        <v>207</v>
      </c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x14ac:dyDescent="0.25">
      <c r="A75" s="76"/>
      <c r="B75" s="26" t="s">
        <v>102</v>
      </c>
      <c r="C75" s="43"/>
      <c r="D75" s="24"/>
      <c r="E75" s="42"/>
      <c r="F75" s="24"/>
      <c r="G75" s="42"/>
      <c r="H75" s="24"/>
      <c r="I75" s="91"/>
      <c r="J75" s="91"/>
      <c r="K75" s="92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x14ac:dyDescent="0.25">
      <c r="A76" s="76"/>
      <c r="B76" s="26" t="s">
        <v>103</v>
      </c>
      <c r="C76" s="43"/>
      <c r="D76" s="24"/>
      <c r="E76" s="42"/>
      <c r="F76" s="24"/>
      <c r="G76" s="42"/>
      <c r="H76" s="24"/>
      <c r="I76" s="91"/>
      <c r="J76" s="91"/>
      <c r="K76" s="91"/>
      <c r="L76" s="93"/>
      <c r="M76" s="93"/>
      <c r="N76" s="93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x14ac:dyDescent="0.25">
      <c r="A77" s="67">
        <v>13</v>
      </c>
      <c r="B77" s="28" t="s">
        <v>190</v>
      </c>
      <c r="C77" s="46" t="s">
        <v>39</v>
      </c>
      <c r="D77" s="29">
        <v>4.88</v>
      </c>
      <c r="E77" s="49">
        <v>12413.7</v>
      </c>
      <c r="F77" s="56">
        <f>D77*E77*1.96428571428</f>
        <v>118994.18142822527</v>
      </c>
      <c r="G77" s="49">
        <v>12413.7</v>
      </c>
      <c r="H77" s="56">
        <v>114848.89</v>
      </c>
      <c r="I77" s="92">
        <f>F77-H77</f>
        <v>4145.291428225275</v>
      </c>
      <c r="J77" s="91" t="s">
        <v>7</v>
      </c>
      <c r="K77" s="91"/>
      <c r="L77" s="93"/>
      <c r="M77" s="93"/>
      <c r="N77" s="93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x14ac:dyDescent="0.25">
      <c r="A78" s="76"/>
      <c r="B78" s="26" t="s">
        <v>205</v>
      </c>
      <c r="C78" s="43"/>
      <c r="D78" s="24"/>
      <c r="E78" s="69"/>
      <c r="F78" s="24"/>
      <c r="G78" s="69"/>
      <c r="H78" s="24"/>
      <c r="I78" s="91"/>
      <c r="J78" s="91"/>
      <c r="K78" s="91"/>
      <c r="L78" s="93"/>
      <c r="M78" s="93"/>
      <c r="N78" s="93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x14ac:dyDescent="0.25">
      <c r="A79" s="76"/>
      <c r="B79" s="26" t="s">
        <v>206</v>
      </c>
      <c r="C79" s="43"/>
      <c r="D79" s="24"/>
      <c r="E79" s="69"/>
      <c r="F79" s="24"/>
      <c r="G79" s="69"/>
      <c r="H79" s="24"/>
      <c r="I79" s="91"/>
      <c r="J79" s="91"/>
      <c r="K79" s="91"/>
      <c r="L79" s="93"/>
      <c r="M79" s="93"/>
      <c r="N79" s="93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x14ac:dyDescent="0.25">
      <c r="A80" s="65"/>
      <c r="B80" s="27"/>
      <c r="C80" s="50"/>
      <c r="D80" s="48"/>
      <c r="E80" s="74"/>
      <c r="F80" s="48"/>
      <c r="G80" s="74"/>
      <c r="H80" s="48"/>
      <c r="I80" s="91"/>
      <c r="J80" s="91"/>
      <c r="K80" s="91"/>
      <c r="L80" s="93"/>
      <c r="M80" s="93"/>
      <c r="N80" s="93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x14ac:dyDescent="0.25">
      <c r="A81" s="24">
        <v>14</v>
      </c>
      <c r="B81" s="26" t="s">
        <v>203</v>
      </c>
      <c r="C81" s="43" t="s">
        <v>39</v>
      </c>
      <c r="D81" s="24">
        <v>0.23</v>
      </c>
      <c r="E81" s="49">
        <v>12413.7</v>
      </c>
      <c r="F81" s="55">
        <f>D81*E81*1.96428571428</f>
        <v>5608.3323214122574</v>
      </c>
      <c r="G81" s="49">
        <v>12413.7</v>
      </c>
      <c r="H81" s="55">
        <v>4876.8100000000004</v>
      </c>
      <c r="I81" s="92">
        <f>F81-H81</f>
        <v>731.52232141225704</v>
      </c>
      <c r="J81" s="91" t="s">
        <v>192</v>
      </c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x14ac:dyDescent="0.25">
      <c r="A82" s="76"/>
      <c r="B82" s="26" t="s">
        <v>204</v>
      </c>
      <c r="C82" s="43"/>
      <c r="D82" s="48"/>
      <c r="E82" s="69"/>
      <c r="F82" s="24"/>
      <c r="G82" s="69"/>
      <c r="H82" s="24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x14ac:dyDescent="0.25">
      <c r="A83" s="67">
        <v>15</v>
      </c>
      <c r="B83" s="28" t="s">
        <v>112</v>
      </c>
      <c r="C83" s="46" t="s">
        <v>39</v>
      </c>
      <c r="D83" s="56">
        <v>0.35</v>
      </c>
      <c r="E83" s="49">
        <v>12413.7</v>
      </c>
      <c r="F83" s="56">
        <f>D83*E83*1.96428571428</f>
        <v>8534.4187499751733</v>
      </c>
      <c r="G83" s="49">
        <v>12413.7</v>
      </c>
      <c r="H83" s="56">
        <v>2682.25</v>
      </c>
      <c r="I83" s="92">
        <f>F83-H83</f>
        <v>5852.1687499751733</v>
      </c>
      <c r="J83" s="91" t="s">
        <v>192</v>
      </c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x14ac:dyDescent="0.25">
      <c r="A84" s="65"/>
      <c r="B84" s="27"/>
      <c r="C84" s="50"/>
      <c r="D84" s="48"/>
      <c r="E84" s="75"/>
      <c r="F84" s="48"/>
      <c r="G84" s="75"/>
      <c r="H84" s="48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x14ac:dyDescent="0.25">
      <c r="A85" s="76">
        <v>16</v>
      </c>
      <c r="B85" s="26" t="s">
        <v>191</v>
      </c>
      <c r="C85" s="43" t="s">
        <v>39</v>
      </c>
      <c r="D85" s="24">
        <v>0.23</v>
      </c>
      <c r="E85" s="49">
        <v>12413.7</v>
      </c>
      <c r="F85" s="56">
        <f>D85*E85*1.96428571428</f>
        <v>5608.3323214122574</v>
      </c>
      <c r="G85" s="49">
        <v>12413.7</v>
      </c>
      <c r="H85" s="55">
        <v>0</v>
      </c>
      <c r="I85" s="92">
        <f>F85-H85</f>
        <v>5608.3323214122574</v>
      </c>
      <c r="J85" s="91" t="s">
        <v>8</v>
      </c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x14ac:dyDescent="0.25">
      <c r="A86" s="76"/>
      <c r="B86" s="26"/>
      <c r="C86" s="43"/>
      <c r="D86" s="24"/>
      <c r="E86" s="54"/>
      <c r="F86" s="24"/>
      <c r="G86" s="54"/>
      <c r="H86" s="24"/>
      <c r="I86" s="91"/>
      <c r="J86" s="91"/>
      <c r="K86" s="92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x14ac:dyDescent="0.25">
      <c r="A87" s="67">
        <v>17</v>
      </c>
      <c r="B87" s="28" t="s">
        <v>105</v>
      </c>
      <c r="C87" s="46" t="s">
        <v>39</v>
      </c>
      <c r="D87" s="29">
        <v>1.49</v>
      </c>
      <c r="E87" s="49">
        <v>12413.7</v>
      </c>
      <c r="F87" s="56">
        <f>D87*E87*1.96428571428</f>
        <v>36332.239821322881</v>
      </c>
      <c r="G87" s="49">
        <v>12413.7</v>
      </c>
      <c r="H87" s="56">
        <v>0</v>
      </c>
      <c r="I87" s="92">
        <f>F87-H87</f>
        <v>36332.239821322881</v>
      </c>
      <c r="J87" s="91" t="s">
        <v>8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x14ac:dyDescent="0.25">
      <c r="A88" s="65"/>
      <c r="B88" s="27" t="s">
        <v>104</v>
      </c>
      <c r="C88" s="50"/>
      <c r="D88" s="48"/>
      <c r="E88" s="47"/>
      <c r="F88" s="48"/>
      <c r="G88" s="47"/>
      <c r="H88" s="48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x14ac:dyDescent="0.25">
      <c r="A89" s="67">
        <v>18</v>
      </c>
      <c r="B89" s="28" t="s">
        <v>193</v>
      </c>
      <c r="C89" s="43" t="s">
        <v>39</v>
      </c>
      <c r="D89" s="29">
        <v>0.38</v>
      </c>
      <c r="E89" s="49">
        <v>12413.7</v>
      </c>
      <c r="F89" s="56">
        <f>D89*E89*1.96428571428</f>
        <v>9265.9403571159019</v>
      </c>
      <c r="G89" s="49">
        <v>12413.7</v>
      </c>
      <c r="H89" s="8">
        <f>D89*E89*1.96428571428</f>
        <v>9265.9403571159019</v>
      </c>
      <c r="I89" s="92">
        <f>F89-H89</f>
        <v>0</v>
      </c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x14ac:dyDescent="0.25">
      <c r="A90" s="65"/>
      <c r="B90" s="27" t="s">
        <v>196</v>
      </c>
      <c r="C90" s="43"/>
      <c r="D90" s="48"/>
      <c r="E90" s="54"/>
      <c r="F90" s="24"/>
      <c r="G90" s="54"/>
      <c r="H90" s="48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x14ac:dyDescent="0.25">
      <c r="A91" s="67">
        <v>19</v>
      </c>
      <c r="B91" s="28" t="s">
        <v>194</v>
      </c>
      <c r="C91" s="46" t="s">
        <v>39</v>
      </c>
      <c r="D91" s="29">
        <v>0.03</v>
      </c>
      <c r="E91" s="49">
        <v>12413.7</v>
      </c>
      <c r="F91" s="56">
        <f>D91*E91*1.96428571428</f>
        <v>731.52160714072909</v>
      </c>
      <c r="G91" s="49">
        <v>12413.7</v>
      </c>
      <c r="H91" s="8">
        <f>D91*E91*1.96428571428</f>
        <v>731.52160714072909</v>
      </c>
      <c r="I91" s="92">
        <f>F91-H91</f>
        <v>0</v>
      </c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x14ac:dyDescent="0.25">
      <c r="A92" s="65"/>
      <c r="B92" s="27" t="s">
        <v>195</v>
      </c>
      <c r="C92" s="50"/>
      <c r="D92" s="48"/>
      <c r="E92" s="47"/>
      <c r="F92" s="48"/>
      <c r="G92" s="47"/>
      <c r="H92" s="48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x14ac:dyDescent="0.25">
      <c r="A93" s="76"/>
      <c r="B93" s="26" t="s">
        <v>106</v>
      </c>
      <c r="C93" s="43"/>
      <c r="D93" s="24">
        <f>SUM(D43:D91)</f>
        <v>33.870000000000005</v>
      </c>
      <c r="E93" s="53"/>
      <c r="F93" s="55">
        <f>SUM(F43:F91)</f>
        <v>825887.89446188312</v>
      </c>
      <c r="G93" s="64"/>
      <c r="H93" s="55">
        <f>SUM(H43:H91)</f>
        <v>1210560.2660700169</v>
      </c>
      <c r="I93" s="92">
        <f>F93-H93</f>
        <v>-384672.37160813378</v>
      </c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x14ac:dyDescent="0.25">
      <c r="A94" s="65"/>
      <c r="B94" s="27"/>
      <c r="C94" s="50"/>
      <c r="D94" s="48"/>
      <c r="E94" s="47"/>
      <c r="F94" s="48"/>
      <c r="G94" s="65"/>
      <c r="H94" s="48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x14ac:dyDescent="0.25">
      <c r="A95" s="43"/>
      <c r="B95" s="41"/>
      <c r="C95" s="4"/>
      <c r="D95" s="70"/>
      <c r="E95" s="41"/>
      <c r="F95" s="71"/>
      <c r="G95" s="41"/>
      <c r="H95" s="41"/>
      <c r="I95" s="92">
        <f>I70+I72+I74</f>
        <v>-447979.28678603627</v>
      </c>
      <c r="J95" s="92" t="s">
        <v>207</v>
      </c>
      <c r="K95" s="92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x14ac:dyDescent="0.25">
      <c r="A96" s="43"/>
      <c r="B96" s="41"/>
      <c r="C96" s="4"/>
      <c r="D96" s="4"/>
      <c r="E96" s="41"/>
      <c r="F96" s="7"/>
      <c r="G96" s="41"/>
      <c r="H96" s="79"/>
      <c r="I96" s="92">
        <f>I85+I83+I81+I87</f>
        <v>48524.263214122569</v>
      </c>
      <c r="J96" s="92" t="s">
        <v>8</v>
      </c>
      <c r="K96" s="92"/>
      <c r="L96" s="92"/>
      <c r="M96" s="92"/>
      <c r="N96" s="92"/>
      <c r="O96" s="92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8.75" x14ac:dyDescent="0.3">
      <c r="A97" s="1" t="s">
        <v>198</v>
      </c>
      <c r="B97" s="1"/>
      <c r="C97" s="1"/>
      <c r="D97" s="1"/>
      <c r="E97" s="1"/>
      <c r="F97" s="1"/>
      <c r="H97" s="80"/>
      <c r="I97" s="92">
        <f>I77+I66</f>
        <v>14782.651963779957</v>
      </c>
      <c r="J97" s="92" t="s">
        <v>7</v>
      </c>
      <c r="K97" s="92"/>
      <c r="L97" s="92"/>
      <c r="M97" s="92"/>
      <c r="N97" s="92"/>
      <c r="O97" s="92"/>
      <c r="P97" s="92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8.75" x14ac:dyDescent="0.3">
      <c r="A98" s="1" t="s">
        <v>21</v>
      </c>
      <c r="B98" s="1"/>
      <c r="C98" s="1"/>
      <c r="D98" s="1"/>
      <c r="E98" s="1"/>
      <c r="F98" s="1"/>
      <c r="I98" s="92">
        <f>SUM(I95:I97)</f>
        <v>-384672.37160813378</v>
      </c>
      <c r="J98" s="92"/>
      <c r="K98" s="91"/>
      <c r="L98" s="92"/>
      <c r="M98" s="92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8.75" x14ac:dyDescent="0.3">
      <c r="A99" s="1"/>
      <c r="B99" s="1"/>
      <c r="C99" s="1"/>
      <c r="D99" s="1"/>
      <c r="E99" s="1"/>
      <c r="F99" s="1"/>
      <c r="I99" s="92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8.75" x14ac:dyDescent="0.3">
      <c r="A100" s="1" t="s">
        <v>230</v>
      </c>
      <c r="B100" s="1"/>
      <c r="C100" s="1"/>
      <c r="D100" s="1"/>
      <c r="E100" s="1"/>
      <c r="F100" s="1"/>
      <c r="I100" s="91"/>
      <c r="J100" s="91" t="s">
        <v>120</v>
      </c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8.75" x14ac:dyDescent="0.3">
      <c r="A101" s="1"/>
      <c r="B101" s="1"/>
      <c r="C101" s="1"/>
      <c r="D101" s="1"/>
      <c r="E101" s="1"/>
      <c r="F101" s="1"/>
      <c r="I101" s="91"/>
      <c r="J101" s="91" t="s">
        <v>157</v>
      </c>
      <c r="K101" s="91"/>
      <c r="L101" s="92">
        <f>T118</f>
        <v>137146.64000000001</v>
      </c>
      <c r="M101" s="92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8.75" x14ac:dyDescent="0.3">
      <c r="A102" s="1" t="s">
        <v>131</v>
      </c>
      <c r="B102" s="1"/>
      <c r="C102" s="1"/>
      <c r="D102" s="1"/>
      <c r="E102" s="1"/>
      <c r="F102" s="1"/>
      <c r="I102" s="91"/>
      <c r="J102" s="91"/>
      <c r="K102" s="91"/>
      <c r="L102" s="92"/>
      <c r="M102" s="92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8.75" x14ac:dyDescent="0.3">
      <c r="A103" s="1" t="s">
        <v>147</v>
      </c>
      <c r="B103" s="1"/>
      <c r="C103" s="1"/>
      <c r="D103" s="1"/>
      <c r="E103" s="1"/>
      <c r="F103" s="1"/>
      <c r="I103" s="91"/>
      <c r="J103" s="91"/>
      <c r="K103" s="91" t="s">
        <v>200</v>
      </c>
      <c r="L103" s="92">
        <f>Y118</f>
        <v>16887.670000000013</v>
      </c>
      <c r="M103" s="92" t="s">
        <v>136</v>
      </c>
      <c r="N103" s="91" t="s">
        <v>137</v>
      </c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8.75" x14ac:dyDescent="0.3">
      <c r="A104" s="1" t="s">
        <v>131</v>
      </c>
      <c r="B104" s="1"/>
      <c r="C104" s="1"/>
      <c r="D104" s="1"/>
      <c r="E104" s="1"/>
      <c r="F104" s="1"/>
      <c r="I104" s="91"/>
      <c r="J104" s="91"/>
      <c r="K104" s="91"/>
      <c r="L104" s="92"/>
      <c r="M104" s="92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18.75" x14ac:dyDescent="0.3">
      <c r="A105" s="1" t="s">
        <v>222</v>
      </c>
      <c r="B105" s="1"/>
      <c r="C105" s="1"/>
      <c r="D105" s="1"/>
      <c r="E105" s="1"/>
      <c r="F105" s="1"/>
      <c r="I105" s="91"/>
      <c r="J105" s="91"/>
      <c r="K105" s="91"/>
      <c r="L105" s="92"/>
      <c r="M105" s="92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8.75" x14ac:dyDescent="0.3">
      <c r="A106" s="1" t="s">
        <v>223</v>
      </c>
      <c r="B106" s="1"/>
      <c r="C106" s="1"/>
      <c r="D106" s="1"/>
      <c r="E106" s="1"/>
      <c r="F106" s="1"/>
      <c r="I106" s="91"/>
      <c r="J106" s="91"/>
      <c r="K106" s="91" t="s">
        <v>116</v>
      </c>
      <c r="L106" s="92">
        <f>Y123-Y122</f>
        <v>49422.390000000007</v>
      </c>
      <c r="M106" s="92">
        <f>I141</f>
        <v>0</v>
      </c>
      <c r="N106" s="92">
        <f>L103+L106-M106</f>
        <v>66310.060000000027</v>
      </c>
      <c r="O106" s="91" t="s">
        <v>138</v>
      </c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8.75" x14ac:dyDescent="0.3">
      <c r="A107" s="1"/>
      <c r="B107" s="1"/>
      <c r="C107" s="1"/>
      <c r="D107" s="1"/>
      <c r="E107" s="1"/>
      <c r="F107" s="1"/>
      <c r="I107" s="91"/>
      <c r="J107" s="94"/>
      <c r="K107" s="91" t="s">
        <v>114</v>
      </c>
      <c r="L107" s="92">
        <f>Y124</f>
        <v>46870.61</v>
      </c>
      <c r="M107" s="92">
        <f>I141</f>
        <v>0</v>
      </c>
      <c r="N107" s="92">
        <f>L101+L107-M107</f>
        <v>184017.25</v>
      </c>
      <c r="O107" s="91" t="s">
        <v>139</v>
      </c>
      <c r="P107" s="91"/>
      <c r="Q107" s="91"/>
      <c r="R107" s="91"/>
      <c r="S107" s="91"/>
      <c r="T107" s="91"/>
      <c r="U107" s="91"/>
      <c r="V107" s="91"/>
      <c r="W107" s="91"/>
      <c r="X107" s="91" t="s">
        <v>175</v>
      </c>
      <c r="Y107" s="91" t="s">
        <v>140</v>
      </c>
      <c r="Z107" s="91"/>
      <c r="AA107" s="91"/>
      <c r="AB107" s="91"/>
    </row>
    <row r="108" spans="1:28" ht="18.75" x14ac:dyDescent="0.3">
      <c r="A108" s="1"/>
      <c r="B108" s="1"/>
      <c r="C108" s="1"/>
      <c r="D108" s="1"/>
      <c r="E108" s="1"/>
      <c r="F108" s="1"/>
      <c r="I108" s="91"/>
      <c r="J108" s="94"/>
      <c r="K108" s="91"/>
      <c r="L108" s="92"/>
      <c r="M108" s="92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x14ac:dyDescent="0.25">
      <c r="A109" s="78"/>
      <c r="C109" s="78"/>
      <c r="D109" s="78"/>
      <c r="E109" s="78"/>
      <c r="F109" s="78"/>
      <c r="I109" s="91"/>
      <c r="J109" s="91"/>
      <c r="K109" s="91" t="s">
        <v>113</v>
      </c>
      <c r="L109" s="92">
        <f>L101+L106-L107</f>
        <v>139698.42000000004</v>
      </c>
      <c r="M109" s="92"/>
      <c r="N109" s="91"/>
      <c r="O109" s="91"/>
      <c r="P109" s="91"/>
      <c r="Q109" s="91"/>
      <c r="R109" s="91"/>
      <c r="S109" s="91"/>
      <c r="T109" s="91"/>
      <c r="U109" s="91"/>
      <c r="V109" s="91"/>
      <c r="W109" s="91" t="s">
        <v>171</v>
      </c>
      <c r="X109" s="92">
        <f>'[1]2022'!$M$17+'[1]отч апр-дек 2023'!$M$17+'[1]май-дек 2024'!$M$17+'[1]авг-дек 2025'!$M$17+'[1]2026'!$M$17</f>
        <v>419458.86</v>
      </c>
      <c r="Y109" s="92">
        <f>Z109</f>
        <v>274391.63</v>
      </c>
      <c r="Z109" s="92">
        <f>'[1]2022'!$N$17+'[1]отч апр-дек 2023'!$N$17+'[1]май-дек 2024'!$O$17+'[1]май-дек 2024'!$N$17+'[1]авг-дек 2025'!$N$17+'[1]авг-дек 2025'!$O$17+'[1]2026'!$O$17+'[1]2026'!$N$17+'[1]отч апр-дек 2023'!$N$35</f>
        <v>274391.63</v>
      </c>
      <c r="AA109" s="91"/>
      <c r="AB109" s="91"/>
    </row>
    <row r="110" spans="1:28" ht="18.75" x14ac:dyDescent="0.3">
      <c r="A110" s="1" t="s">
        <v>224</v>
      </c>
      <c r="B110" s="1"/>
      <c r="C110" s="1"/>
      <c r="D110" s="1"/>
      <c r="E110" s="1"/>
      <c r="F110" s="1"/>
      <c r="I110" s="91"/>
      <c r="J110" s="91"/>
      <c r="K110" s="91"/>
      <c r="L110" s="92"/>
      <c r="M110" s="92"/>
      <c r="N110" s="91"/>
      <c r="O110" s="91" t="s">
        <v>142</v>
      </c>
      <c r="P110" s="91" t="s">
        <v>145</v>
      </c>
      <c r="Q110" s="91" t="s">
        <v>143</v>
      </c>
      <c r="R110" s="91" t="s">
        <v>144</v>
      </c>
      <c r="S110" s="91"/>
      <c r="T110" s="91"/>
      <c r="U110" s="91"/>
      <c r="V110" s="91"/>
      <c r="W110" s="91" t="s">
        <v>172</v>
      </c>
      <c r="X110" s="92">
        <f>'[1]2022'!$M$23+'[1]май-дек 2024'!$M$23+'[1]авг-дек 2025'!$M$23+'[1]2026'!$M$23</f>
        <v>419276.85</v>
      </c>
      <c r="Y110" s="92">
        <f>Z110</f>
        <v>257503.96</v>
      </c>
      <c r="Z110" s="92">
        <f>'[1]2022'!$N$23+'[1]отч апр-дек 2023'!$N$23+'[1]май-дек 2024'!$O$23+'[1]авг-дек 2025'!$N$23+'[1]авг-дек 2025'!$O$23+'[1]2026'!$O$23</f>
        <v>257503.96</v>
      </c>
      <c r="AA110" s="91"/>
      <c r="AB110" s="91"/>
    </row>
    <row r="111" spans="1:28" ht="18.75" x14ac:dyDescent="0.3">
      <c r="A111" s="1"/>
      <c r="B111" s="1"/>
      <c r="C111" s="1"/>
      <c r="D111" s="1"/>
      <c r="E111" s="1"/>
      <c r="F111" s="1"/>
      <c r="I111" s="91"/>
      <c r="J111" s="91" t="s">
        <v>117</v>
      </c>
      <c r="K111" s="91"/>
      <c r="L111" s="92">
        <f>L113+L114</f>
        <v>0</v>
      </c>
      <c r="M111" s="92"/>
      <c r="N111" s="91" t="s">
        <v>140</v>
      </c>
      <c r="O111" s="92">
        <f>-161572.95+298719.58</f>
        <v>137146.63</v>
      </c>
      <c r="P111" s="92">
        <f>T124</f>
        <v>46870.61</v>
      </c>
      <c r="Q111" s="92"/>
      <c r="R111" s="92">
        <f>O111+P111-Q111</f>
        <v>184017.24</v>
      </c>
      <c r="S111" s="91"/>
      <c r="T111" s="91"/>
      <c r="U111" s="91"/>
      <c r="V111" s="91"/>
      <c r="W111" s="91" t="s">
        <v>173</v>
      </c>
      <c r="X111" s="92">
        <f>X109-X110</f>
        <v>182.01000000000931</v>
      </c>
      <c r="Y111" s="92">
        <f>Y109-Y110</f>
        <v>16887.670000000013</v>
      </c>
      <c r="Z111" s="91"/>
      <c r="AA111" s="91"/>
      <c r="AB111" s="91"/>
    </row>
    <row r="112" spans="1:28" ht="18.75" x14ac:dyDescent="0.3">
      <c r="A112" s="1" t="s">
        <v>231</v>
      </c>
      <c r="B112" s="1"/>
      <c r="C112" s="1"/>
      <c r="D112" s="1"/>
      <c r="E112" s="1"/>
      <c r="F112" s="1"/>
      <c r="I112" s="91"/>
      <c r="J112" s="91" t="s">
        <v>118</v>
      </c>
      <c r="K112" s="91"/>
      <c r="L112" s="92"/>
      <c r="M112" s="92"/>
      <c r="N112" s="91" t="s">
        <v>141</v>
      </c>
      <c r="O112" s="91">
        <v>25466.38</v>
      </c>
      <c r="P112" s="91">
        <v>1000</v>
      </c>
      <c r="Q112" s="92"/>
      <c r="R112" s="92">
        <f>O112+P112-Q112</f>
        <v>26466.38</v>
      </c>
      <c r="S112" s="91"/>
      <c r="T112" s="91"/>
      <c r="U112" s="91"/>
      <c r="V112" s="91"/>
      <c r="W112" s="91" t="s">
        <v>174</v>
      </c>
      <c r="X112" s="92">
        <f>R118</f>
        <v>113458.23</v>
      </c>
      <c r="Y112" s="92">
        <f>T118</f>
        <v>137146.64000000001</v>
      </c>
      <c r="Z112" s="91"/>
      <c r="AA112" s="91"/>
      <c r="AB112" s="91"/>
    </row>
    <row r="113" spans="1:28" x14ac:dyDescent="0.25">
      <c r="B113" s="4"/>
      <c r="C113" s="4"/>
      <c r="D113" s="4"/>
      <c r="E113" s="4"/>
      <c r="F113" s="7"/>
      <c r="G113" s="4"/>
      <c r="H113" s="4"/>
      <c r="I113" s="91"/>
      <c r="J113" s="91" t="s">
        <v>119</v>
      </c>
      <c r="K113" s="91"/>
      <c r="L113" s="92">
        <f>I139</f>
        <v>0</v>
      </c>
      <c r="M113" s="92"/>
      <c r="N113" s="91" t="s">
        <v>183</v>
      </c>
      <c r="O113" s="92">
        <v>113458.23</v>
      </c>
      <c r="P113" s="92">
        <f>R124</f>
        <v>-570.69999999999982</v>
      </c>
      <c r="Q113" s="92"/>
      <c r="R113" s="92">
        <f>O113+P113-Q113</f>
        <v>112887.53</v>
      </c>
      <c r="S113" s="91"/>
      <c r="T113" s="91"/>
      <c r="U113" s="91"/>
      <c r="V113" s="91"/>
      <c r="W113" s="91" t="s">
        <v>142</v>
      </c>
      <c r="X113" s="92">
        <f>X111-X112</f>
        <v>-113276.21999999999</v>
      </c>
      <c r="Y113" s="92">
        <f>Y111-Y112</f>
        <v>-120258.97</v>
      </c>
      <c r="Z113" s="92"/>
      <c r="AA113" s="91"/>
      <c r="AB113" s="91"/>
    </row>
    <row r="114" spans="1:28" ht="15.75" x14ac:dyDescent="0.25">
      <c r="A114" s="72"/>
      <c r="B114" s="28"/>
      <c r="C114" s="29"/>
      <c r="D114" s="29" t="s">
        <v>44</v>
      </c>
      <c r="E114" s="30" t="s">
        <v>50</v>
      </c>
      <c r="F114" s="29" t="s">
        <v>54</v>
      </c>
      <c r="G114" s="3"/>
      <c r="H114" s="3"/>
      <c r="I114" s="91"/>
      <c r="J114" s="91" t="s">
        <v>184</v>
      </c>
      <c r="K114" s="91"/>
      <c r="L114" s="92">
        <f t="shared" ref="L114" si="0">I140</f>
        <v>0</v>
      </c>
      <c r="M114" s="91"/>
      <c r="N114" s="102"/>
      <c r="O114" s="102" t="s">
        <v>169</v>
      </c>
      <c r="P114" s="105" t="s">
        <v>148</v>
      </c>
      <c r="Q114" s="106" t="s">
        <v>166</v>
      </c>
      <c r="R114" s="105" t="s">
        <v>161</v>
      </c>
      <c r="S114" s="105" t="s">
        <v>214</v>
      </c>
      <c r="T114" s="105" t="s">
        <v>158</v>
      </c>
      <c r="U114" s="106" t="s">
        <v>213</v>
      </c>
      <c r="V114" s="105" t="s">
        <v>162</v>
      </c>
      <c r="W114" s="106" t="s">
        <v>166</v>
      </c>
      <c r="X114" s="105" t="s">
        <v>161</v>
      </c>
      <c r="Y114" s="105" t="s">
        <v>158</v>
      </c>
      <c r="Z114" s="91"/>
      <c r="AA114" s="91"/>
      <c r="AB114" s="91"/>
    </row>
    <row r="115" spans="1:28" ht="15.75" x14ac:dyDescent="0.25">
      <c r="A115" s="73" t="s">
        <v>23</v>
      </c>
      <c r="B115" s="26" t="s">
        <v>25</v>
      </c>
      <c r="C115" s="24" t="s">
        <v>61</v>
      </c>
      <c r="D115" s="25" t="s">
        <v>45</v>
      </c>
      <c r="E115" s="9" t="s">
        <v>51</v>
      </c>
      <c r="F115" s="24" t="s">
        <v>55</v>
      </c>
      <c r="G115" s="3"/>
      <c r="H115" s="3"/>
      <c r="I115" s="91"/>
      <c r="J115" s="91" t="s">
        <v>185</v>
      </c>
      <c r="K115" s="91"/>
      <c r="L115" s="92"/>
      <c r="M115" s="91"/>
      <c r="N115" s="102"/>
      <c r="O115" s="102" t="s">
        <v>170</v>
      </c>
      <c r="P115" s="105" t="s">
        <v>149</v>
      </c>
      <c r="Q115" s="106" t="s">
        <v>164</v>
      </c>
      <c r="R115" s="105" t="s">
        <v>159</v>
      </c>
      <c r="S115" s="105" t="s">
        <v>215</v>
      </c>
      <c r="T115" s="105" t="s">
        <v>150</v>
      </c>
      <c r="U115" s="105" t="s">
        <v>211</v>
      </c>
      <c r="V115" s="105" t="s">
        <v>163</v>
      </c>
      <c r="W115" s="106" t="s">
        <v>164</v>
      </c>
      <c r="X115" s="105" t="s">
        <v>159</v>
      </c>
      <c r="Y115" s="105" t="s">
        <v>150</v>
      </c>
      <c r="Z115" s="91"/>
      <c r="AA115" s="91"/>
      <c r="AB115" s="91"/>
    </row>
    <row r="116" spans="1:28" ht="15.75" x14ac:dyDescent="0.25">
      <c r="A116" s="73" t="s">
        <v>24</v>
      </c>
      <c r="B116" s="26"/>
      <c r="C116" s="24" t="s">
        <v>62</v>
      </c>
      <c r="D116" s="25" t="s">
        <v>46</v>
      </c>
      <c r="E116" s="87" t="s">
        <v>52</v>
      </c>
      <c r="F116" s="25" t="s">
        <v>56</v>
      </c>
      <c r="I116" s="91"/>
      <c r="J116" s="91" t="s">
        <v>115</v>
      </c>
      <c r="K116" s="91"/>
      <c r="L116" s="92">
        <f>M106+L113+L114+L115</f>
        <v>0</v>
      </c>
      <c r="M116" s="91"/>
      <c r="N116" s="102"/>
      <c r="O116" s="102"/>
      <c r="P116" s="105" t="s">
        <v>0</v>
      </c>
      <c r="Q116" s="106" t="s">
        <v>165</v>
      </c>
      <c r="R116" s="105" t="s">
        <v>167</v>
      </c>
      <c r="S116" s="105"/>
      <c r="T116" s="105"/>
      <c r="U116" s="105" t="s">
        <v>212</v>
      </c>
      <c r="V116" s="105"/>
      <c r="W116" s="106" t="s">
        <v>165</v>
      </c>
      <c r="X116" s="105" t="s">
        <v>168</v>
      </c>
      <c r="Y116" s="105" t="s">
        <v>168</v>
      </c>
      <c r="Z116" s="91"/>
      <c r="AA116" s="91"/>
      <c r="AB116" s="91"/>
    </row>
    <row r="117" spans="1:28" ht="15.75" x14ac:dyDescent="0.25">
      <c r="A117" s="73"/>
      <c r="B117" s="26"/>
      <c r="C117" s="25" t="s">
        <v>28</v>
      </c>
      <c r="D117" s="25" t="s">
        <v>47</v>
      </c>
      <c r="E117" s="87" t="s">
        <v>53</v>
      </c>
      <c r="F117" s="25" t="s">
        <v>57</v>
      </c>
      <c r="H117" s="62"/>
      <c r="I117" s="92"/>
      <c r="J117" s="91"/>
      <c r="K117" s="91"/>
      <c r="L117" s="91"/>
      <c r="M117" s="91"/>
      <c r="N117" s="102"/>
      <c r="O117" s="91"/>
      <c r="P117" s="105" t="s">
        <v>1</v>
      </c>
      <c r="Q117" s="105" t="s">
        <v>1</v>
      </c>
      <c r="R117" s="105" t="s">
        <v>1</v>
      </c>
      <c r="S117" s="105"/>
      <c r="T117" s="105" t="s">
        <v>1</v>
      </c>
      <c r="U117" s="105"/>
      <c r="V117" s="105" t="s">
        <v>1</v>
      </c>
      <c r="W117" s="105" t="s">
        <v>1</v>
      </c>
      <c r="X117" s="105" t="s">
        <v>1</v>
      </c>
      <c r="Y117" s="105" t="s">
        <v>1</v>
      </c>
      <c r="Z117" s="91"/>
      <c r="AA117" s="91"/>
      <c r="AB117" s="91"/>
    </row>
    <row r="118" spans="1:28" ht="15.75" x14ac:dyDescent="0.25">
      <c r="A118" s="73"/>
      <c r="B118" s="26"/>
      <c r="C118" s="25"/>
      <c r="D118" s="25" t="s">
        <v>48</v>
      </c>
      <c r="E118" s="87" t="s">
        <v>27</v>
      </c>
      <c r="F118" s="25" t="s">
        <v>58</v>
      </c>
      <c r="H118" s="62"/>
      <c r="I118" s="92"/>
      <c r="J118" s="91"/>
      <c r="K118" s="91"/>
      <c r="L118" s="91"/>
      <c r="M118" s="91"/>
      <c r="N118" s="100" t="s">
        <v>182</v>
      </c>
      <c r="O118" s="100"/>
      <c r="P118" s="120">
        <v>-1277258.95</v>
      </c>
      <c r="Q118" s="120"/>
      <c r="R118" s="101">
        <v>113458.23</v>
      </c>
      <c r="S118" s="101">
        <v>0</v>
      </c>
      <c r="T118" s="101">
        <f>-161572.94+298719.58</f>
        <v>137146.64000000001</v>
      </c>
      <c r="U118" s="101">
        <f>64.18-299.2</f>
        <v>-235.01999999999998</v>
      </c>
      <c r="V118" s="101"/>
      <c r="W118" s="101"/>
      <c r="X118" s="101">
        <f>X111</f>
        <v>182.01000000000931</v>
      </c>
      <c r="Y118" s="101">
        <f>Y111</f>
        <v>16887.670000000013</v>
      </c>
      <c r="Z118" s="91"/>
      <c r="AA118" s="91"/>
      <c r="AB118" s="91"/>
    </row>
    <row r="119" spans="1:28" ht="15.75" x14ac:dyDescent="0.25">
      <c r="A119" s="73"/>
      <c r="B119" s="26"/>
      <c r="C119" s="25"/>
      <c r="D119" s="25" t="s">
        <v>49</v>
      </c>
      <c r="E119" s="87"/>
      <c r="F119" s="25" t="s">
        <v>59</v>
      </c>
      <c r="G119" s="81"/>
      <c r="H119" s="62"/>
      <c r="I119" s="92"/>
      <c r="J119" s="91"/>
      <c r="K119" s="91"/>
      <c r="L119" s="91"/>
      <c r="M119" s="91"/>
      <c r="N119" s="102" t="s">
        <v>0</v>
      </c>
      <c r="O119" s="102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91"/>
      <c r="AA119" s="91"/>
      <c r="AB119" s="91"/>
    </row>
    <row r="120" spans="1:28" ht="15.75" x14ac:dyDescent="0.25">
      <c r="A120" s="73"/>
      <c r="B120" s="26"/>
      <c r="C120" s="25"/>
      <c r="D120" s="25" t="s">
        <v>1</v>
      </c>
      <c r="E120" s="87"/>
      <c r="F120" s="25" t="s">
        <v>60</v>
      </c>
      <c r="G120" s="81"/>
      <c r="I120" s="92"/>
      <c r="J120" s="95"/>
      <c r="K120" s="91"/>
      <c r="L120" s="91"/>
      <c r="M120" s="91">
        <f>O120</f>
        <v>680132.83</v>
      </c>
      <c r="N120" s="108" t="s">
        <v>217</v>
      </c>
      <c r="O120" s="102">
        <v>680132.83</v>
      </c>
      <c r="P120" s="107">
        <v>894526.02</v>
      </c>
      <c r="Q120" s="107"/>
      <c r="R120" s="107">
        <v>-113276.22</v>
      </c>
      <c r="S120" s="107">
        <v>-16823.349999999999</v>
      </c>
      <c r="T120" s="107">
        <f>-156502.38+36243.41</f>
        <v>-120258.97</v>
      </c>
      <c r="U120" s="107">
        <f>-24.4+329.73</f>
        <v>305.33000000000004</v>
      </c>
      <c r="V120" s="107">
        <f>1268.45+6130.64+5528.84+4617.66+68811.26-50696.82</f>
        <v>35660.029999999992</v>
      </c>
      <c r="W120" s="107"/>
      <c r="X120" s="107">
        <f>R120</f>
        <v>-113276.22</v>
      </c>
      <c r="Y120" s="107">
        <f>T120</f>
        <v>-120258.97</v>
      </c>
      <c r="Z120" s="91"/>
      <c r="AA120" s="91"/>
      <c r="AB120" s="91"/>
    </row>
    <row r="121" spans="1:28" ht="15.75" x14ac:dyDescent="0.25">
      <c r="A121" s="73"/>
      <c r="B121" s="26"/>
      <c r="C121" s="25"/>
      <c r="D121" s="25"/>
      <c r="E121" s="87"/>
      <c r="F121" s="25"/>
      <c r="G121" s="81"/>
      <c r="I121" s="92"/>
      <c r="J121" s="95"/>
      <c r="K121" s="91"/>
      <c r="L121" s="91"/>
      <c r="M121" s="91"/>
      <c r="N121" s="102" t="s">
        <v>216</v>
      </c>
      <c r="O121" s="102">
        <v>659413.05000000005</v>
      </c>
      <c r="P121" s="107">
        <f>811660.39+16823.35-305.33</f>
        <v>828178.41</v>
      </c>
      <c r="Q121" s="107"/>
      <c r="R121" s="107">
        <v>-113276.22</v>
      </c>
      <c r="S121" s="107">
        <v>-16823.349999999999</v>
      </c>
      <c r="T121" s="107">
        <v>-120491.37</v>
      </c>
      <c r="U121" s="107">
        <f>329.73-24.4</f>
        <v>305.33000000000004</v>
      </c>
      <c r="V121" s="107">
        <v>81520.25</v>
      </c>
      <c r="W121" s="107"/>
      <c r="X121" s="107">
        <f>R123-R122</f>
        <v>0</v>
      </c>
      <c r="Y121" s="107">
        <f>T121</f>
        <v>-120491.37</v>
      </c>
      <c r="Z121" s="91"/>
      <c r="AA121" s="91"/>
      <c r="AB121" s="91"/>
    </row>
    <row r="122" spans="1:28" ht="15.75" x14ac:dyDescent="0.25">
      <c r="A122" s="73"/>
      <c r="B122" s="26"/>
      <c r="C122" s="25"/>
      <c r="D122" s="25"/>
      <c r="E122" s="87"/>
      <c r="F122" s="25"/>
      <c r="G122" s="81"/>
      <c r="I122" s="92"/>
      <c r="J122" s="95"/>
      <c r="K122" s="91"/>
      <c r="L122" s="91"/>
      <c r="M122" s="91"/>
      <c r="N122" s="109" t="s">
        <v>218</v>
      </c>
      <c r="O122" s="102">
        <f>O120-O121</f>
        <v>20719.779999999912</v>
      </c>
      <c r="P122" s="102">
        <f t="shared" ref="P122:V122" si="1">P120-P121</f>
        <v>66347.609999999986</v>
      </c>
      <c r="Q122" s="102">
        <f t="shared" si="1"/>
        <v>0</v>
      </c>
      <c r="R122" s="102">
        <f t="shared" si="1"/>
        <v>0</v>
      </c>
      <c r="S122" s="102">
        <f t="shared" si="1"/>
        <v>0</v>
      </c>
      <c r="T122" s="102">
        <f t="shared" si="1"/>
        <v>232.39999999999418</v>
      </c>
      <c r="U122" s="102">
        <f t="shared" si="1"/>
        <v>0</v>
      </c>
      <c r="V122" s="102">
        <f t="shared" si="1"/>
        <v>-45860.220000000008</v>
      </c>
      <c r="W122" s="107"/>
      <c r="X122" s="107"/>
      <c r="Y122" s="107">
        <f>T122</f>
        <v>232.39999999999418</v>
      </c>
      <c r="Z122" s="91"/>
      <c r="AA122" s="91"/>
      <c r="AB122" s="91"/>
    </row>
    <row r="123" spans="1:28" ht="15.75" x14ac:dyDescent="0.25">
      <c r="A123" s="29">
        <v>1</v>
      </c>
      <c r="B123" s="67">
        <v>2</v>
      </c>
      <c r="C123" s="29">
        <v>3</v>
      </c>
      <c r="D123" s="29">
        <v>4</v>
      </c>
      <c r="E123" s="30">
        <v>5</v>
      </c>
      <c r="F123" s="29">
        <v>6</v>
      </c>
      <c r="G123" s="82"/>
      <c r="H123" s="81"/>
      <c r="I123" s="91"/>
      <c r="J123" s="96"/>
      <c r="K123" s="91"/>
      <c r="L123" s="91"/>
      <c r="M123" s="92">
        <f>O123-O122</f>
        <v>910840.42</v>
      </c>
      <c r="N123" s="109" t="s">
        <v>210</v>
      </c>
      <c r="O123" s="102">
        <v>931560.2</v>
      </c>
      <c r="P123" s="107">
        <f>111723.3+184219.58+583844.98</f>
        <v>879787.86</v>
      </c>
      <c r="Q123" s="107"/>
      <c r="R123" s="107">
        <v>0</v>
      </c>
      <c r="S123" s="107"/>
      <c r="T123" s="107">
        <v>49654.79</v>
      </c>
      <c r="U123" s="107"/>
      <c r="V123" s="107">
        <f>-68885.06-15648.17+19376.61+21411.67+45862.5</f>
        <v>2117.5500000000029</v>
      </c>
      <c r="W123" s="107"/>
      <c r="X123" s="107">
        <f>R123-R122</f>
        <v>0</v>
      </c>
      <c r="Y123" s="107">
        <f t="shared" ref="Y123:Y124" si="2">T123</f>
        <v>49654.79</v>
      </c>
      <c r="Z123" s="91"/>
      <c r="AA123" s="91"/>
      <c r="AB123" s="91"/>
    </row>
    <row r="124" spans="1:28" ht="15.75" x14ac:dyDescent="0.25">
      <c r="A124" s="29"/>
      <c r="B124" s="67"/>
      <c r="C124" s="29"/>
      <c r="D124" s="29"/>
      <c r="E124" s="30"/>
      <c r="F124" s="29"/>
      <c r="G124" s="82"/>
      <c r="H124" s="81"/>
      <c r="I124" s="91"/>
      <c r="J124" s="95"/>
      <c r="K124" s="91"/>
      <c r="L124" s="91"/>
      <c r="M124" s="91">
        <f>O124</f>
        <v>970389.59</v>
      </c>
      <c r="N124" s="109" t="s">
        <v>209</v>
      </c>
      <c r="O124" s="102">
        <v>970389.59</v>
      </c>
      <c r="P124" s="107">
        <f>854936.84+4614.07</f>
        <v>859550.90999999992</v>
      </c>
      <c r="Q124" s="107"/>
      <c r="R124" s="107">
        <f>2233.34-2804.04</f>
        <v>-570.69999999999982</v>
      </c>
      <c r="S124" s="107"/>
      <c r="T124" s="107">
        <f>48077.13-1206.52</f>
        <v>46870.61</v>
      </c>
      <c r="U124" s="107"/>
      <c r="V124" s="107">
        <f>65142.28-603.51</f>
        <v>64538.77</v>
      </c>
      <c r="W124" s="107"/>
      <c r="X124" s="107">
        <f>R124</f>
        <v>-570.69999999999982</v>
      </c>
      <c r="Y124" s="107">
        <f t="shared" si="2"/>
        <v>46870.61</v>
      </c>
      <c r="Z124" s="91"/>
      <c r="AA124" s="91"/>
      <c r="AB124" s="91"/>
    </row>
    <row r="125" spans="1:28" ht="19.5" customHeight="1" x14ac:dyDescent="0.25">
      <c r="A125" s="48"/>
      <c r="B125" s="35"/>
      <c r="C125" s="20"/>
      <c r="D125" s="63"/>
      <c r="E125" s="68"/>
      <c r="F125" s="63"/>
      <c r="G125" s="7"/>
      <c r="H125" s="81"/>
      <c r="I125" s="91"/>
      <c r="J125" s="95"/>
      <c r="K125" s="91"/>
      <c r="L125" s="91"/>
      <c r="M125" s="91"/>
      <c r="N125" s="102"/>
      <c r="O125" s="102"/>
      <c r="P125" s="107"/>
      <c r="Q125" s="107"/>
      <c r="R125" s="107"/>
      <c r="S125" s="107"/>
      <c r="T125" s="107"/>
      <c r="U125" s="107"/>
      <c r="V125" s="102"/>
      <c r="W125" s="102"/>
      <c r="X125" s="107"/>
      <c r="Y125" s="107"/>
      <c r="Z125" s="91"/>
      <c r="AA125" s="91"/>
      <c r="AB125" s="91"/>
    </row>
    <row r="126" spans="1:28" ht="17.25" customHeight="1" x14ac:dyDescent="0.25">
      <c r="A126" s="65"/>
      <c r="B126" s="61" t="s">
        <v>0</v>
      </c>
      <c r="C126" s="27"/>
      <c r="D126" s="27"/>
      <c r="E126" s="35"/>
      <c r="F126" s="48"/>
      <c r="G126" s="83"/>
      <c r="H126" s="81"/>
      <c r="I126" s="91"/>
      <c r="J126" s="97"/>
      <c r="K126" s="91"/>
      <c r="L126" s="91"/>
      <c r="M126" s="91"/>
      <c r="N126" s="102"/>
      <c r="O126" s="102"/>
      <c r="P126" s="102"/>
      <c r="Q126" s="102"/>
      <c r="R126" s="102"/>
      <c r="S126" s="102"/>
      <c r="T126" s="107"/>
      <c r="U126" s="102"/>
      <c r="V126" s="102"/>
      <c r="W126" s="102"/>
      <c r="X126" s="102"/>
      <c r="Y126" s="102"/>
      <c r="Z126" s="91"/>
      <c r="AA126" s="91"/>
      <c r="AB126" s="91"/>
    </row>
    <row r="127" spans="1:28" ht="15.75" x14ac:dyDescent="0.25">
      <c r="G127" s="7"/>
      <c r="H127" s="81"/>
      <c r="I127" s="98"/>
      <c r="J127" s="95"/>
      <c r="K127" s="91"/>
      <c r="L127" s="91"/>
      <c r="M127" s="91"/>
      <c r="N127" s="102"/>
      <c r="O127" s="102"/>
      <c r="P127" s="102"/>
      <c r="Q127" s="102"/>
      <c r="R127" s="102"/>
      <c r="S127" s="107"/>
      <c r="T127" s="107"/>
      <c r="U127" s="102"/>
      <c r="V127" s="102"/>
      <c r="W127" s="102"/>
      <c r="X127" s="102"/>
      <c r="Y127" s="102"/>
      <c r="Z127" s="91"/>
      <c r="AA127" s="91"/>
      <c r="AB127" s="91"/>
    </row>
    <row r="128" spans="1:28" ht="19.5" customHeight="1" x14ac:dyDescent="0.3">
      <c r="A128" s="2" t="s">
        <v>226</v>
      </c>
      <c r="B128" s="1"/>
      <c r="C128" s="1"/>
      <c r="D128" s="1"/>
      <c r="E128" s="1"/>
      <c r="F128" s="1"/>
      <c r="G128" s="7"/>
      <c r="H128" s="81"/>
      <c r="I128" s="91">
        <f>2.17*1.96428571*E89</f>
        <v>52913.396134552582</v>
      </c>
      <c r="J128" s="95"/>
      <c r="K128" s="91"/>
      <c r="L128" s="91"/>
      <c r="M128" s="92">
        <f>M120+M123-M124</f>
        <v>620583.66</v>
      </c>
      <c r="N128" s="102" t="s">
        <v>178</v>
      </c>
      <c r="O128" s="102">
        <f>O120-O122+O123-O124</f>
        <v>620583.66</v>
      </c>
      <c r="P128" s="107">
        <f>P120-P122+P123-P124</f>
        <v>848415.3600000001</v>
      </c>
      <c r="Q128" s="102">
        <f t="shared" ref="Q128:W128" si="3">Q120-Q122+Q123-Q124</f>
        <v>0</v>
      </c>
      <c r="R128" s="102">
        <f t="shared" si="3"/>
        <v>-112705.52</v>
      </c>
      <c r="S128" s="102">
        <f t="shared" si="3"/>
        <v>-16823.349999999999</v>
      </c>
      <c r="T128" s="102">
        <f t="shared" si="3"/>
        <v>-117707.18999999999</v>
      </c>
      <c r="U128" s="102">
        <f t="shared" si="3"/>
        <v>305.33000000000004</v>
      </c>
      <c r="V128" s="102">
        <f t="shared" si="3"/>
        <v>19099.030000000006</v>
      </c>
      <c r="W128" s="102">
        <f t="shared" si="3"/>
        <v>0</v>
      </c>
      <c r="X128" s="107">
        <f t="shared" ref="X128" si="4">X120+X123-X124</f>
        <v>-112705.52</v>
      </c>
      <c r="Y128" s="107">
        <f>Y120-Y122+Y123-Y124</f>
        <v>-117707.18999999999</v>
      </c>
      <c r="Z128" s="91"/>
      <c r="AA128" s="91"/>
      <c r="AB128" s="91"/>
    </row>
    <row r="129" spans="1:28" ht="18.75" customHeight="1" x14ac:dyDescent="0.25">
      <c r="A129" s="84"/>
      <c r="G129" s="83"/>
      <c r="I129" s="91"/>
      <c r="J129" s="95"/>
      <c r="K129" s="91"/>
      <c r="L129" s="91"/>
      <c r="M129" s="91"/>
      <c r="N129" s="102" t="s">
        <v>0</v>
      </c>
      <c r="O129" s="102"/>
      <c r="P129" s="102" t="s">
        <v>0</v>
      </c>
      <c r="Q129" s="102"/>
      <c r="R129" s="102"/>
      <c r="S129" s="102"/>
      <c r="T129" s="107">
        <f>T120+T123-T122-T124</f>
        <v>-117707.18999999999</v>
      </c>
      <c r="U129" s="102"/>
      <c r="V129" s="107"/>
      <c r="W129" s="102"/>
      <c r="X129" s="102"/>
      <c r="Y129" s="102"/>
      <c r="Z129" s="91"/>
      <c r="AA129" s="91"/>
      <c r="AB129" s="91"/>
    </row>
    <row r="130" spans="1:28" ht="21" customHeight="1" x14ac:dyDescent="0.3">
      <c r="A130" s="2" t="s">
        <v>199</v>
      </c>
      <c r="B130" s="1"/>
      <c r="C130" s="1"/>
      <c r="D130" s="1"/>
      <c r="G130" s="7"/>
      <c r="H130" s="81"/>
      <c r="I130" s="98"/>
      <c r="J130" s="95"/>
      <c r="K130" s="91"/>
      <c r="L130" s="91"/>
      <c r="M130" s="91"/>
      <c r="N130" s="102" t="s">
        <v>151</v>
      </c>
      <c r="O130" s="91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91"/>
      <c r="AA130" s="91"/>
      <c r="AB130" s="91"/>
    </row>
    <row r="131" spans="1:28" ht="18" customHeight="1" x14ac:dyDescent="0.3">
      <c r="A131" s="1" t="s">
        <v>63</v>
      </c>
      <c r="G131" s="7"/>
      <c r="H131" s="81"/>
      <c r="I131" s="98"/>
      <c r="J131" s="91"/>
      <c r="K131" s="91"/>
      <c r="L131" s="91"/>
      <c r="M131" s="91"/>
      <c r="N131" s="102" t="s">
        <v>152</v>
      </c>
      <c r="O131" s="102"/>
      <c r="P131" s="107">
        <f>P123-P130</f>
        <v>879787.86</v>
      </c>
      <c r="Q131" s="107">
        <f>Q123-Q130</f>
        <v>0</v>
      </c>
      <c r="R131" s="107">
        <f>R123-R130</f>
        <v>0</v>
      </c>
      <c r="S131" s="107"/>
      <c r="T131" s="107">
        <f>T123-T130</f>
        <v>49654.79</v>
      </c>
      <c r="U131" s="107"/>
      <c r="V131" s="107"/>
      <c r="W131" s="107"/>
      <c r="X131" s="107">
        <f>X123-X130</f>
        <v>0</v>
      </c>
      <c r="Y131" s="107">
        <f>Y123-Y130</f>
        <v>49654.79</v>
      </c>
      <c r="Z131" s="91"/>
      <c r="AA131" s="91"/>
      <c r="AB131" s="91"/>
    </row>
    <row r="132" spans="1:28" ht="22.5" customHeight="1" x14ac:dyDescent="0.25">
      <c r="G132" s="83"/>
      <c r="H132" s="81"/>
      <c r="I132" s="98"/>
      <c r="J132" s="91"/>
      <c r="K132" s="91"/>
      <c r="L132" s="91"/>
      <c r="M132" s="91"/>
      <c r="N132" s="102" t="s">
        <v>153</v>
      </c>
      <c r="O132" s="102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91"/>
      <c r="AA132" s="91"/>
      <c r="AB132" s="91"/>
    </row>
    <row r="133" spans="1:28" ht="15.75" x14ac:dyDescent="0.25">
      <c r="A133" s="72"/>
      <c r="B133" s="28"/>
      <c r="C133" s="29" t="s">
        <v>41</v>
      </c>
      <c r="D133" s="121" t="s">
        <v>91</v>
      </c>
      <c r="E133" s="122"/>
      <c r="F133" s="123"/>
      <c r="G133" s="7"/>
      <c r="H133" s="81"/>
      <c r="I133" s="91"/>
      <c r="J133" s="91"/>
      <c r="K133" s="91"/>
      <c r="L133" s="91"/>
      <c r="M133" s="91"/>
      <c r="N133" s="102" t="s">
        <v>154</v>
      </c>
      <c r="O133" s="102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91"/>
      <c r="AA133" s="91"/>
      <c r="AB133" s="91"/>
    </row>
    <row r="134" spans="1:28" ht="15.75" x14ac:dyDescent="0.25">
      <c r="A134" s="73" t="s">
        <v>23</v>
      </c>
      <c r="B134" s="24" t="s">
        <v>64</v>
      </c>
      <c r="C134" s="24" t="s">
        <v>66</v>
      </c>
      <c r="D134" s="117" t="s">
        <v>92</v>
      </c>
      <c r="E134" s="118"/>
      <c r="F134" s="119"/>
      <c r="G134" s="7"/>
      <c r="H134" s="81"/>
      <c r="I134" s="91"/>
      <c r="J134" s="91"/>
      <c r="K134" s="91"/>
      <c r="L134" s="91"/>
      <c r="M134" s="91"/>
      <c r="N134" s="102" t="s">
        <v>0</v>
      </c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91"/>
      <c r="AA134" s="91"/>
      <c r="AB134" s="91"/>
    </row>
    <row r="135" spans="1:28" ht="34.5" customHeight="1" x14ac:dyDescent="0.25">
      <c r="A135" s="73" t="s">
        <v>24</v>
      </c>
      <c r="B135" s="24" t="s">
        <v>65</v>
      </c>
      <c r="C135" s="24" t="s">
        <v>67</v>
      </c>
      <c r="D135" s="117" t="s">
        <v>93</v>
      </c>
      <c r="E135" s="118"/>
      <c r="F135" s="119"/>
      <c r="G135" s="83"/>
      <c r="H135" s="81"/>
      <c r="I135" s="91"/>
      <c r="J135" s="99"/>
      <c r="K135" s="91"/>
      <c r="L135" s="91"/>
      <c r="M135" s="91"/>
      <c r="N135" s="102" t="s">
        <v>155</v>
      </c>
      <c r="O135" s="102"/>
      <c r="P135" s="107">
        <f>P124-P130</f>
        <v>859550.90999999992</v>
      </c>
      <c r="Q135" s="107">
        <f>Q124-Q130</f>
        <v>0</v>
      </c>
      <c r="R135" s="107">
        <f>R124-R130</f>
        <v>-570.69999999999982</v>
      </c>
      <c r="S135" s="107"/>
      <c r="T135" s="107">
        <f>T124-T130</f>
        <v>46870.61</v>
      </c>
      <c r="U135" s="107"/>
      <c r="V135" s="107"/>
      <c r="W135" s="107"/>
      <c r="X135" s="107">
        <f>X123-X130</f>
        <v>0</v>
      </c>
      <c r="Y135" s="107">
        <f>Y123-Y122-Y130</f>
        <v>49422.390000000007</v>
      </c>
      <c r="Z135" s="91"/>
      <c r="AA135" s="91"/>
      <c r="AB135" s="91"/>
    </row>
    <row r="136" spans="1:28" ht="15.75" x14ac:dyDescent="0.25">
      <c r="A136" s="73"/>
      <c r="B136" s="24"/>
      <c r="C136" s="25" t="s">
        <v>68</v>
      </c>
      <c r="D136" s="117" t="s">
        <v>94</v>
      </c>
      <c r="E136" s="118"/>
      <c r="F136" s="119"/>
      <c r="G136" s="83"/>
      <c r="H136" s="81"/>
      <c r="I136" s="91"/>
      <c r="J136" s="99"/>
      <c r="K136" s="91"/>
      <c r="L136" s="91"/>
      <c r="M136" s="91"/>
      <c r="N136" s="102" t="s">
        <v>156</v>
      </c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91"/>
      <c r="AA136" s="91"/>
      <c r="AB136" s="91"/>
    </row>
    <row r="137" spans="1:28" ht="15.75" x14ac:dyDescent="0.25">
      <c r="A137" s="73"/>
      <c r="B137" s="26"/>
      <c r="C137" s="25" t="s">
        <v>69</v>
      </c>
      <c r="D137" s="117" t="s">
        <v>95</v>
      </c>
      <c r="E137" s="118"/>
      <c r="F137" s="119"/>
      <c r="G137" s="83"/>
      <c r="H137" s="110"/>
      <c r="I137" s="91"/>
      <c r="J137" s="99"/>
      <c r="K137" s="91"/>
      <c r="L137" s="91"/>
      <c r="M137" s="91"/>
      <c r="N137" s="109"/>
      <c r="O137" s="109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91"/>
      <c r="AA137" s="91"/>
      <c r="AB137" s="91"/>
    </row>
    <row r="138" spans="1:28" ht="15.75" x14ac:dyDescent="0.25">
      <c r="A138" s="73"/>
      <c r="B138" s="26"/>
      <c r="C138" s="25" t="s">
        <v>70</v>
      </c>
      <c r="D138" s="127"/>
      <c r="E138" s="128"/>
      <c r="F138" s="129"/>
      <c r="G138" s="83"/>
      <c r="H138" s="110"/>
      <c r="I138" s="91"/>
      <c r="J138" s="99"/>
      <c r="K138" s="91"/>
      <c r="L138" s="91"/>
      <c r="M138" s="91"/>
      <c r="N138" s="100" t="s">
        <v>176</v>
      </c>
      <c r="O138" s="100"/>
      <c r="P138" s="101">
        <f>P118+P135</f>
        <v>-417708.04000000004</v>
      </c>
      <c r="Q138" s="101">
        <f>Q118+Q135</f>
        <v>0</v>
      </c>
      <c r="R138" s="101">
        <f>R118+R135</f>
        <v>112887.53</v>
      </c>
      <c r="S138" s="101"/>
      <c r="T138" s="101">
        <f>T118+T135</f>
        <v>184017.25</v>
      </c>
      <c r="U138" s="101"/>
      <c r="V138" s="101"/>
      <c r="W138" s="101"/>
      <c r="X138" s="101">
        <f>X118+X135</f>
        <v>182.01000000000931</v>
      </c>
      <c r="Y138" s="101">
        <f>Y118+Y135</f>
        <v>66310.060000000027</v>
      </c>
      <c r="Z138" s="91"/>
      <c r="AA138" s="91"/>
      <c r="AB138" s="91"/>
    </row>
    <row r="139" spans="1:28" ht="15.75" x14ac:dyDescent="0.25">
      <c r="A139" s="73"/>
      <c r="B139" s="26"/>
      <c r="C139" s="25" t="s">
        <v>71</v>
      </c>
      <c r="D139" s="127"/>
      <c r="E139" s="128"/>
      <c r="F139" s="129"/>
      <c r="G139" s="83"/>
      <c r="H139" s="111" t="s">
        <v>179</v>
      </c>
      <c r="I139" s="92"/>
      <c r="J139" s="99"/>
      <c r="K139" s="91"/>
      <c r="L139" s="91"/>
      <c r="M139" s="91"/>
      <c r="N139" s="100" t="s">
        <v>0</v>
      </c>
      <c r="O139" s="100"/>
      <c r="P139" s="102"/>
      <c r="Q139" s="107"/>
      <c r="R139" s="107"/>
      <c r="S139" s="107"/>
      <c r="T139" s="107"/>
      <c r="U139" s="107"/>
      <c r="V139" s="102"/>
      <c r="W139" s="102"/>
      <c r="X139" s="107"/>
      <c r="Y139" s="107"/>
      <c r="Z139" s="91"/>
      <c r="AA139" s="91"/>
      <c r="AB139" s="91"/>
    </row>
    <row r="140" spans="1:28" ht="15.75" x14ac:dyDescent="0.25">
      <c r="A140" s="20"/>
      <c r="B140" s="27"/>
      <c r="C140" s="66"/>
      <c r="D140" s="130"/>
      <c r="E140" s="131"/>
      <c r="F140" s="132"/>
      <c r="G140" s="83"/>
      <c r="H140" s="111" t="s">
        <v>183</v>
      </c>
      <c r="I140" s="92"/>
      <c r="J140" s="99"/>
      <c r="K140" s="91"/>
      <c r="L140" s="91"/>
      <c r="M140" s="91"/>
      <c r="N140" s="100"/>
      <c r="O140" s="100"/>
      <c r="P140" s="101"/>
      <c r="Q140" s="102"/>
      <c r="R140" s="102"/>
      <c r="S140" s="102"/>
      <c r="T140" s="102"/>
      <c r="U140" s="102"/>
      <c r="V140" s="102"/>
      <c r="W140" s="102"/>
      <c r="X140" s="102"/>
      <c r="Y140" s="102"/>
      <c r="Z140" s="91"/>
      <c r="AA140" s="91"/>
      <c r="AB140" s="91"/>
    </row>
    <row r="141" spans="1:28" ht="15.75" x14ac:dyDescent="0.25">
      <c r="A141" s="44">
        <v>1</v>
      </c>
      <c r="B141" s="40">
        <v>2</v>
      </c>
      <c r="C141" s="36">
        <v>3</v>
      </c>
      <c r="D141" s="133">
        <v>4</v>
      </c>
      <c r="E141" s="134"/>
      <c r="F141" s="135"/>
      <c r="G141" s="83"/>
      <c r="H141" s="111" t="s">
        <v>140</v>
      </c>
      <c r="I141" s="103"/>
      <c r="J141" s="99"/>
      <c r="K141" s="91"/>
      <c r="L141" s="91"/>
      <c r="M141" s="91"/>
      <c r="N141" s="100"/>
      <c r="O141" s="91"/>
      <c r="P141" s="92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x14ac:dyDescent="0.25">
      <c r="A142" s="67">
        <v>1</v>
      </c>
      <c r="B142" s="29">
        <v>3</v>
      </c>
      <c r="C142" s="86">
        <v>1</v>
      </c>
      <c r="D142" s="136">
        <v>11912.06</v>
      </c>
      <c r="E142" s="137"/>
      <c r="F142" s="138"/>
      <c r="G142" s="83"/>
      <c r="H142" s="111"/>
      <c r="I142" s="103"/>
      <c r="J142" s="99"/>
      <c r="K142" s="91"/>
      <c r="L142" s="91"/>
      <c r="M142" s="91"/>
      <c r="N142" s="91"/>
      <c r="O142" s="91"/>
      <c r="P142" s="92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26.25" customHeight="1" x14ac:dyDescent="0.25">
      <c r="A143" s="76"/>
      <c r="B143" s="32"/>
      <c r="C143" s="7"/>
      <c r="D143" s="139"/>
      <c r="E143" s="140"/>
      <c r="F143" s="141"/>
      <c r="G143" s="83"/>
      <c r="H143" s="91"/>
      <c r="I143" s="104">
        <f>SUM(I139:I142)</f>
        <v>0</v>
      </c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 x14ac:dyDescent="0.25">
      <c r="A144" s="65"/>
      <c r="B144" s="27"/>
      <c r="C144" s="88"/>
      <c r="D144" s="124"/>
      <c r="E144" s="125"/>
      <c r="F144" s="126"/>
      <c r="G144" s="83"/>
      <c r="I144" s="103"/>
      <c r="J144" s="91"/>
      <c r="K144" s="91"/>
      <c r="L144" s="91"/>
      <c r="M144" s="91"/>
      <c r="N144" s="100" t="s">
        <v>177</v>
      </c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 x14ac:dyDescent="0.25">
      <c r="G145" s="83"/>
      <c r="I145" s="103"/>
      <c r="J145" s="91"/>
      <c r="K145" s="91"/>
      <c r="L145" s="91"/>
      <c r="M145" s="91"/>
      <c r="N145" s="102" t="s">
        <v>208</v>
      </c>
      <c r="O145" s="91"/>
      <c r="P145" s="92">
        <f>P120+R120+T120+S120+U120</f>
        <v>644472.81000000006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 x14ac:dyDescent="0.25">
      <c r="G146" s="7"/>
      <c r="I146" s="103"/>
      <c r="J146" s="91"/>
      <c r="K146" s="91"/>
      <c r="L146" s="91"/>
      <c r="M146" s="91"/>
      <c r="N146" s="102" t="s">
        <v>219</v>
      </c>
      <c r="O146" s="91"/>
      <c r="P146" s="92">
        <f>P123+T123+R123-P122-T122</f>
        <v>862862.64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8.75" x14ac:dyDescent="0.3">
      <c r="A147" s="1" t="s">
        <v>72</v>
      </c>
      <c r="B147" s="1"/>
      <c r="C147" s="1"/>
      <c r="D147" s="1"/>
      <c r="E147" s="1"/>
      <c r="F147" s="1"/>
      <c r="G147" s="83"/>
      <c r="I147" s="103"/>
      <c r="J147" s="91"/>
      <c r="K147" s="91"/>
      <c r="L147" s="91"/>
      <c r="M147" s="91"/>
      <c r="N147" s="102" t="s">
        <v>220</v>
      </c>
      <c r="O147" s="91"/>
      <c r="P147" s="92">
        <f>P124+T124+R124</f>
        <v>905850.82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8.75" x14ac:dyDescent="0.3">
      <c r="A148" s="1" t="s">
        <v>73</v>
      </c>
      <c r="B148" s="1"/>
      <c r="C148" s="1"/>
      <c r="D148" s="1"/>
      <c r="E148" s="1"/>
      <c r="F148" s="1"/>
      <c r="I148" s="103"/>
      <c r="J148" s="91"/>
      <c r="K148" s="91"/>
      <c r="L148" s="91"/>
      <c r="M148" s="91"/>
      <c r="N148" s="102" t="s">
        <v>221</v>
      </c>
      <c r="O148" s="91"/>
      <c r="P148" s="92">
        <f>P145+P146-P147</f>
        <v>601484.63000000024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8.75" x14ac:dyDescent="0.3">
      <c r="A149" s="1" t="s">
        <v>74</v>
      </c>
      <c r="B149" s="1"/>
      <c r="C149" s="1"/>
      <c r="D149" s="1"/>
      <c r="E149" s="1"/>
      <c r="F149" s="1"/>
      <c r="I149" s="91"/>
      <c r="J149" s="91"/>
      <c r="K149" s="91"/>
      <c r="L149" s="91"/>
      <c r="M149" s="91"/>
      <c r="N149" s="91"/>
      <c r="O149" s="91"/>
      <c r="P149" s="92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8.75" x14ac:dyDescent="0.3">
      <c r="A150" s="1" t="s">
        <v>75</v>
      </c>
      <c r="B150" s="1"/>
      <c r="C150" s="1"/>
      <c r="D150" s="1"/>
      <c r="E150" s="1"/>
      <c r="F150" s="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8.75" x14ac:dyDescent="0.3">
      <c r="A151" s="1" t="s">
        <v>76</v>
      </c>
      <c r="B151" s="1"/>
      <c r="C151" s="1"/>
      <c r="D151" s="1"/>
      <c r="E151" s="1"/>
      <c r="F151" s="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8.75" x14ac:dyDescent="0.3">
      <c r="A152" s="1"/>
      <c r="B152" s="1"/>
      <c r="C152" s="1"/>
      <c r="D152" s="1"/>
      <c r="E152" s="1"/>
      <c r="F152" s="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x14ac:dyDescent="0.25"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x14ac:dyDescent="0.25">
      <c r="A154" s="72"/>
      <c r="B154" s="28"/>
      <c r="C154" s="29"/>
      <c r="D154" s="29"/>
      <c r="E154" s="30"/>
      <c r="F154" s="29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x14ac:dyDescent="0.25">
      <c r="A155" s="73" t="s">
        <v>23</v>
      </c>
      <c r="B155" s="24" t="s">
        <v>77</v>
      </c>
      <c r="C155" s="24" t="s">
        <v>78</v>
      </c>
      <c r="D155" s="25" t="s">
        <v>82</v>
      </c>
      <c r="E155" s="9" t="s">
        <v>82</v>
      </c>
      <c r="F155" s="24" t="s">
        <v>78</v>
      </c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x14ac:dyDescent="0.25">
      <c r="A156" s="73" t="s">
        <v>24</v>
      </c>
      <c r="B156" s="26"/>
      <c r="C156" s="25" t="s">
        <v>79</v>
      </c>
      <c r="D156" s="25" t="s">
        <v>83</v>
      </c>
      <c r="E156" s="87" t="s">
        <v>85</v>
      </c>
      <c r="F156" s="25" t="s">
        <v>86</v>
      </c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x14ac:dyDescent="0.25">
      <c r="A157" s="73"/>
      <c r="B157" s="26"/>
      <c r="C157" s="25" t="s">
        <v>80</v>
      </c>
      <c r="D157" s="25" t="s">
        <v>84</v>
      </c>
      <c r="E157" s="87" t="s">
        <v>84</v>
      </c>
      <c r="F157" s="25" t="s">
        <v>81</v>
      </c>
    </row>
    <row r="158" spans="1:28" x14ac:dyDescent="0.25">
      <c r="A158" s="73"/>
      <c r="B158" s="26"/>
      <c r="C158" s="25" t="s">
        <v>81</v>
      </c>
      <c r="D158" s="25" t="s">
        <v>0</v>
      </c>
      <c r="E158" s="87"/>
      <c r="F158" s="25" t="s">
        <v>87</v>
      </c>
    </row>
    <row r="159" spans="1:28" x14ac:dyDescent="0.25">
      <c r="A159" s="73"/>
      <c r="B159" s="26"/>
      <c r="C159" s="25"/>
      <c r="D159" s="25" t="s">
        <v>0</v>
      </c>
      <c r="E159" s="87"/>
      <c r="F159" s="25" t="s">
        <v>96</v>
      </c>
    </row>
    <row r="160" spans="1:28" ht="20.25" customHeight="1" x14ac:dyDescent="0.25">
      <c r="A160" s="73"/>
      <c r="B160" s="26"/>
      <c r="C160" s="25" t="s">
        <v>1</v>
      </c>
      <c r="D160" s="25" t="s">
        <v>1</v>
      </c>
      <c r="E160" s="87" t="s">
        <v>1</v>
      </c>
      <c r="F160" s="25" t="s">
        <v>1</v>
      </c>
    </row>
    <row r="161" spans="1:20" ht="16.5" customHeight="1" x14ac:dyDescent="0.25">
      <c r="A161" s="20"/>
      <c r="B161" s="27"/>
      <c r="C161" s="66"/>
      <c r="D161" s="66"/>
      <c r="E161" s="89"/>
      <c r="F161" s="66"/>
    </row>
    <row r="162" spans="1:20" x14ac:dyDescent="0.25">
      <c r="A162" s="44">
        <v>1</v>
      </c>
      <c r="B162" s="40">
        <v>2</v>
      </c>
      <c r="C162" s="36">
        <v>3</v>
      </c>
      <c r="D162" s="36">
        <v>4</v>
      </c>
      <c r="E162" s="21">
        <v>5</v>
      </c>
      <c r="F162" s="36">
        <v>6</v>
      </c>
    </row>
    <row r="163" spans="1:20" x14ac:dyDescent="0.25">
      <c r="A163" s="67">
        <v>1</v>
      </c>
      <c r="B163" s="31" t="s">
        <v>88</v>
      </c>
      <c r="C163" s="42">
        <v>644472.81000000006</v>
      </c>
      <c r="D163" s="55">
        <f>879787.86+49654.79-66580.01</f>
        <v>862862.64</v>
      </c>
      <c r="E163" s="54">
        <f>854936.84+4614.07+48077.13-1206.52+2233.34-2804.04</f>
        <v>905850.81999999983</v>
      </c>
      <c r="F163" s="55">
        <f>C163+D163-E163</f>
        <v>601484.63000000035</v>
      </c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</row>
    <row r="164" spans="1:20" x14ac:dyDescent="0.25">
      <c r="A164" s="76"/>
      <c r="B164" s="32" t="s">
        <v>89</v>
      </c>
      <c r="C164" s="42"/>
      <c r="D164" s="55"/>
      <c r="E164" s="54"/>
      <c r="F164" s="55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</row>
    <row r="165" spans="1:20" x14ac:dyDescent="0.25">
      <c r="A165" s="65"/>
      <c r="B165" s="27"/>
      <c r="C165" s="42"/>
      <c r="D165" s="55"/>
      <c r="E165" s="54"/>
      <c r="F165" s="55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</row>
    <row r="166" spans="1:20" x14ac:dyDescent="0.25">
      <c r="A166" s="76">
        <v>2</v>
      </c>
      <c r="B166" s="32" t="s">
        <v>90</v>
      </c>
      <c r="C166" s="57">
        <v>0</v>
      </c>
      <c r="D166" s="58">
        <v>0</v>
      </c>
      <c r="E166" s="8">
        <v>0</v>
      </c>
      <c r="F166" s="56">
        <v>0</v>
      </c>
      <c r="H166" s="91"/>
      <c r="I166" s="91"/>
      <c r="J166" s="91" t="s">
        <v>120</v>
      </c>
      <c r="K166" s="91"/>
      <c r="L166" s="91"/>
      <c r="M166" s="91" t="s">
        <v>121</v>
      </c>
      <c r="N166" s="91"/>
      <c r="O166" s="91"/>
      <c r="P166" s="91"/>
      <c r="Q166" s="91"/>
      <c r="R166" s="91"/>
      <c r="S166" s="91"/>
      <c r="T166" s="91"/>
    </row>
    <row r="167" spans="1:20" x14ac:dyDescent="0.25">
      <c r="A167" s="76"/>
      <c r="B167" s="32" t="s">
        <v>89</v>
      </c>
      <c r="C167" s="34"/>
      <c r="D167" s="37"/>
      <c r="E167" s="87"/>
      <c r="F167" s="25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</row>
    <row r="168" spans="1:20" x14ac:dyDescent="0.25">
      <c r="A168" s="76"/>
      <c r="B168" s="26"/>
      <c r="C168" s="4"/>
      <c r="D168" s="38"/>
      <c r="E168" s="87"/>
      <c r="F168" s="25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</row>
    <row r="169" spans="1:20" x14ac:dyDescent="0.25">
      <c r="A169" s="67"/>
      <c r="B169" s="31" t="s">
        <v>9</v>
      </c>
      <c r="C169" s="11">
        <f>C163+C166</f>
        <v>644472.81000000006</v>
      </c>
      <c r="D169" s="59">
        <f>D163+D166</f>
        <v>862862.64</v>
      </c>
      <c r="E169" s="11">
        <f t="shared" ref="E169:F169" si="5">E163+E166</f>
        <v>905850.81999999983</v>
      </c>
      <c r="F169" s="59">
        <f t="shared" si="5"/>
        <v>601484.63000000035</v>
      </c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</row>
    <row r="170" spans="1:20" ht="15.75" x14ac:dyDescent="0.25">
      <c r="A170" s="65"/>
      <c r="B170" s="33" t="s">
        <v>0</v>
      </c>
      <c r="C170" s="6"/>
      <c r="D170" s="39"/>
      <c r="E170" s="35"/>
      <c r="F170" s="66"/>
      <c r="H170" s="91"/>
      <c r="I170" s="91"/>
      <c r="J170" s="91" t="s">
        <v>113</v>
      </c>
      <c r="K170" s="92">
        <f>T120</f>
        <v>-120258.97</v>
      </c>
      <c r="L170" s="91"/>
      <c r="M170" s="91" t="s">
        <v>113</v>
      </c>
      <c r="N170" s="107">
        <f>R120</f>
        <v>-113276.22</v>
      </c>
      <c r="O170" s="91"/>
      <c r="P170" s="91"/>
      <c r="Q170" s="91"/>
      <c r="R170" s="91"/>
      <c r="S170" s="91"/>
      <c r="T170" s="91"/>
    </row>
    <row r="171" spans="1:20" ht="15.75" x14ac:dyDescent="0.25">
      <c r="C171" s="85"/>
      <c r="H171" s="91"/>
      <c r="I171" s="91"/>
      <c r="J171" s="91" t="s">
        <v>116</v>
      </c>
      <c r="K171" s="92">
        <f>T123-T122</f>
        <v>49422.390000000007</v>
      </c>
      <c r="L171" s="91"/>
      <c r="M171" s="91" t="s">
        <v>116</v>
      </c>
      <c r="N171" s="107">
        <f>R123</f>
        <v>0</v>
      </c>
      <c r="O171" s="91"/>
      <c r="P171" s="91"/>
      <c r="Q171" s="91"/>
      <c r="R171" s="91"/>
      <c r="S171" s="91"/>
      <c r="T171" s="91"/>
    </row>
    <row r="172" spans="1:20" ht="15.75" x14ac:dyDescent="0.25">
      <c r="H172" s="91"/>
      <c r="I172" s="91"/>
      <c r="J172" s="91" t="s">
        <v>114</v>
      </c>
      <c r="K172" s="92">
        <f t="shared" ref="K172" si="6">T124</f>
        <v>46870.61</v>
      </c>
      <c r="L172" s="91"/>
      <c r="M172" s="91" t="s">
        <v>114</v>
      </c>
      <c r="N172" s="107">
        <f>R124</f>
        <v>-570.69999999999982</v>
      </c>
      <c r="O172" s="91"/>
      <c r="P172" s="91"/>
      <c r="Q172" s="91"/>
      <c r="R172" s="91"/>
      <c r="S172" s="91"/>
      <c r="T172" s="91"/>
    </row>
    <row r="173" spans="1:20" x14ac:dyDescent="0.25">
      <c r="H173" s="91"/>
      <c r="I173" s="91"/>
      <c r="J173" s="91"/>
      <c r="K173" s="92"/>
      <c r="L173" s="91"/>
      <c r="M173" s="91"/>
      <c r="N173" s="92"/>
      <c r="O173" s="91"/>
      <c r="P173" s="91"/>
      <c r="Q173" s="91"/>
      <c r="R173" s="91"/>
      <c r="S173" s="91"/>
      <c r="T173" s="91"/>
    </row>
    <row r="174" spans="1:20" x14ac:dyDescent="0.25">
      <c r="H174" s="91"/>
      <c r="I174" s="91"/>
      <c r="J174" s="91" t="s">
        <v>113</v>
      </c>
      <c r="K174" s="92">
        <f>K170+K171-K172</f>
        <v>-117707.18999999999</v>
      </c>
      <c r="L174" s="91"/>
      <c r="M174" s="91" t="s">
        <v>113</v>
      </c>
      <c r="N174" s="92">
        <f>N170+N171-N172</f>
        <v>-112705.52</v>
      </c>
      <c r="O174" s="91"/>
      <c r="P174" s="91"/>
      <c r="Q174" s="91"/>
      <c r="R174" s="91"/>
      <c r="S174" s="91"/>
      <c r="T174" s="91"/>
    </row>
    <row r="175" spans="1:20" x14ac:dyDescent="0.25"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</row>
    <row r="176" spans="1:20" x14ac:dyDescent="0.25"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</row>
    <row r="177" spans="6:20" x14ac:dyDescent="0.25">
      <c r="H177" s="92"/>
      <c r="I177" s="91"/>
      <c r="J177" s="91"/>
      <c r="K177" s="91">
        <v>1.9642857142800001</v>
      </c>
      <c r="L177" s="91"/>
      <c r="M177" s="91"/>
      <c r="N177" s="91"/>
      <c r="O177" s="91"/>
      <c r="P177" s="91"/>
      <c r="Q177" s="91"/>
      <c r="R177" s="91"/>
      <c r="S177" s="91"/>
      <c r="T177" s="91"/>
    </row>
    <row r="178" spans="6:20" x14ac:dyDescent="0.25">
      <c r="H178" s="91"/>
      <c r="I178" s="91"/>
      <c r="J178" s="91" t="s">
        <v>122</v>
      </c>
      <c r="K178" s="91"/>
      <c r="L178" s="91"/>
      <c r="M178" s="91"/>
      <c r="N178" s="91" t="s">
        <v>146</v>
      </c>
      <c r="O178" s="91" t="s">
        <v>180</v>
      </c>
      <c r="P178" s="91" t="s">
        <v>160</v>
      </c>
      <c r="Q178" s="91"/>
      <c r="R178" s="91" t="s">
        <v>181</v>
      </c>
      <c r="S178" s="91"/>
      <c r="T178" s="91"/>
    </row>
    <row r="179" spans="6:20" x14ac:dyDescent="0.25">
      <c r="H179" s="92"/>
      <c r="I179" s="92"/>
      <c r="J179" s="91">
        <v>23.95</v>
      </c>
      <c r="K179" s="91">
        <v>1.9642857142800001</v>
      </c>
      <c r="L179" s="112">
        <v>12413.7</v>
      </c>
      <c r="M179" s="91">
        <f>J179*K179*L179</f>
        <v>583998.08303401549</v>
      </c>
      <c r="N179" s="92"/>
      <c r="O179" s="91"/>
      <c r="P179" s="91"/>
      <c r="Q179" s="91"/>
      <c r="R179" s="91"/>
      <c r="S179" s="91"/>
      <c r="T179" s="91"/>
    </row>
    <row r="180" spans="6:20" x14ac:dyDescent="0.25">
      <c r="H180" s="91"/>
      <c r="I180" s="92"/>
      <c r="J180" s="91"/>
      <c r="K180" s="91"/>
      <c r="L180" s="112"/>
      <c r="M180" s="91">
        <f>J180*K180*L180</f>
        <v>0</v>
      </c>
      <c r="N180" s="91"/>
      <c r="O180" s="91"/>
      <c r="P180" s="91"/>
      <c r="Q180" s="91"/>
      <c r="R180" s="91"/>
      <c r="S180" s="91"/>
      <c r="T180" s="91"/>
    </row>
    <row r="181" spans="6:20" x14ac:dyDescent="0.25">
      <c r="H181" s="91"/>
      <c r="I181" s="92"/>
      <c r="J181" s="91"/>
      <c r="K181" s="91"/>
      <c r="L181" s="91"/>
      <c r="M181" s="91">
        <f>M179+M180</f>
        <v>583998.08303401549</v>
      </c>
      <c r="N181" s="91">
        <v>583844.98</v>
      </c>
      <c r="O181" s="92">
        <f>I66</f>
        <v>10637.360535554682</v>
      </c>
      <c r="P181" s="92">
        <f>M181-O181</f>
        <v>573360.72249846079</v>
      </c>
      <c r="Q181" s="113">
        <f>N181-P181</f>
        <v>10484.257501539192</v>
      </c>
      <c r="R181" s="91"/>
      <c r="S181" s="91"/>
      <c r="T181" s="91"/>
    </row>
    <row r="182" spans="6:20" x14ac:dyDescent="0.25">
      <c r="H182" s="91"/>
      <c r="I182" s="91"/>
      <c r="J182" s="91"/>
      <c r="K182" s="91"/>
      <c r="L182" s="91"/>
      <c r="M182" s="92"/>
      <c r="N182" s="91"/>
      <c r="O182" s="91"/>
      <c r="P182" s="91"/>
      <c r="Q182" s="113"/>
      <c r="R182" s="91"/>
      <c r="S182" s="91"/>
      <c r="T182" s="91"/>
    </row>
    <row r="183" spans="6:20" x14ac:dyDescent="0.25">
      <c r="H183" s="91"/>
      <c r="I183" s="91"/>
      <c r="J183" s="91" t="s">
        <v>181</v>
      </c>
      <c r="K183" s="91"/>
      <c r="L183" s="91"/>
      <c r="M183" s="92"/>
      <c r="N183" s="91"/>
      <c r="O183" s="91"/>
      <c r="P183" s="91"/>
      <c r="Q183" s="113"/>
      <c r="R183" s="91"/>
      <c r="S183" s="91"/>
      <c r="T183" s="91"/>
    </row>
    <row r="184" spans="6:20" x14ac:dyDescent="0.25">
      <c r="H184" s="91"/>
      <c r="I184" s="92"/>
      <c r="J184" s="91">
        <v>4.5</v>
      </c>
      <c r="K184" s="91">
        <v>1.9642857142800001</v>
      </c>
      <c r="L184" s="112">
        <v>12413.7</v>
      </c>
      <c r="M184" s="91">
        <f>J184*L184*K184</f>
        <v>109728.24107110937</v>
      </c>
      <c r="N184" s="91"/>
      <c r="O184" s="91"/>
      <c r="P184" s="91"/>
      <c r="Q184" s="113"/>
      <c r="R184" s="91"/>
      <c r="S184" s="91"/>
      <c r="T184" s="91"/>
    </row>
    <row r="185" spans="6:20" x14ac:dyDescent="0.25">
      <c r="F185" s="91"/>
      <c r="G185" s="91"/>
      <c r="H185" s="91"/>
      <c r="I185" s="92"/>
      <c r="J185" s="91"/>
      <c r="K185" s="91"/>
      <c r="L185" s="112"/>
      <c r="M185" s="91"/>
      <c r="N185" s="91"/>
      <c r="O185" s="91"/>
      <c r="P185" s="91"/>
      <c r="Q185" s="113"/>
      <c r="R185" s="91"/>
      <c r="S185" s="91"/>
      <c r="T185" s="91"/>
    </row>
    <row r="186" spans="6:20" x14ac:dyDescent="0.25">
      <c r="F186" s="91">
        <f>831897-117707.19-112705.52</f>
        <v>601484.29</v>
      </c>
      <c r="G186" s="91"/>
      <c r="H186" s="91"/>
      <c r="I186" s="92"/>
      <c r="J186" s="91"/>
      <c r="K186" s="91"/>
      <c r="L186" s="112"/>
      <c r="M186" s="91">
        <f>SUM(M184:M185)</f>
        <v>109728.24107110937</v>
      </c>
      <c r="N186" s="91">
        <f>111723.3</f>
        <v>111723.3</v>
      </c>
      <c r="O186" s="92"/>
      <c r="P186" s="92">
        <f>M186-O186</f>
        <v>109728.24107110937</v>
      </c>
      <c r="Q186" s="113">
        <f>N186-P186</f>
        <v>1995.058928890634</v>
      </c>
      <c r="R186" s="91"/>
      <c r="S186" s="91"/>
      <c r="T186" s="91"/>
    </row>
    <row r="187" spans="6:20" x14ac:dyDescent="0.25">
      <c r="F187" s="91"/>
      <c r="G187" s="91"/>
      <c r="H187" s="91"/>
      <c r="I187" s="91"/>
      <c r="J187" s="91" t="s">
        <v>123</v>
      </c>
      <c r="K187" s="91"/>
      <c r="L187" s="91"/>
      <c r="M187" s="92"/>
      <c r="N187" s="91"/>
      <c r="O187" s="91"/>
      <c r="P187" s="91"/>
      <c r="Q187" s="113"/>
      <c r="R187" s="91"/>
      <c r="S187" s="91"/>
      <c r="T187" s="91"/>
    </row>
    <row r="188" spans="6:20" x14ac:dyDescent="0.25">
      <c r="F188" s="91"/>
      <c r="G188" s="91"/>
      <c r="H188" s="92"/>
      <c r="I188" s="92"/>
      <c r="J188" s="91">
        <f>4.88+0.23+0.35+0.23+1.49+0.38+0.03</f>
        <v>7.5900000000000007</v>
      </c>
      <c r="K188" s="91">
        <v>1.9642857142800001</v>
      </c>
      <c r="L188" s="112">
        <v>12413.7</v>
      </c>
      <c r="M188" s="91">
        <f>J188*L188*K188</f>
        <v>185074.96660660452</v>
      </c>
      <c r="N188" s="91"/>
      <c r="O188" s="91"/>
      <c r="P188" s="91"/>
      <c r="Q188" s="113"/>
      <c r="R188" s="91"/>
      <c r="S188" s="91"/>
      <c r="T188" s="91"/>
    </row>
    <row r="189" spans="6:20" x14ac:dyDescent="0.25">
      <c r="F189" s="91"/>
      <c r="G189" s="91"/>
      <c r="H189" s="91"/>
      <c r="I189" s="92"/>
      <c r="J189" s="91"/>
      <c r="K189" s="91"/>
      <c r="L189" s="112"/>
      <c r="M189" s="91"/>
      <c r="N189" s="91"/>
      <c r="O189" s="91"/>
      <c r="P189" s="91"/>
      <c r="Q189" s="113"/>
      <c r="R189" s="91"/>
      <c r="S189" s="91"/>
      <c r="T189" s="91"/>
    </row>
    <row r="190" spans="6:20" x14ac:dyDescent="0.25">
      <c r="H190" s="91"/>
      <c r="I190" s="91"/>
      <c r="J190" s="91"/>
      <c r="K190" s="91"/>
      <c r="L190" s="91"/>
      <c r="M190" s="91"/>
      <c r="N190" s="91"/>
      <c r="O190" s="91"/>
      <c r="P190" s="91"/>
      <c r="Q190" s="113"/>
      <c r="R190" s="91"/>
      <c r="S190" s="91"/>
      <c r="T190" s="91"/>
    </row>
    <row r="191" spans="6:20" x14ac:dyDescent="0.25">
      <c r="H191" s="91"/>
      <c r="I191" s="91"/>
      <c r="J191" s="91"/>
      <c r="K191" s="91"/>
      <c r="L191" s="91"/>
      <c r="M191" s="91">
        <f>M188+M189</f>
        <v>185074.96660660452</v>
      </c>
      <c r="N191" s="91">
        <f>184219.58</f>
        <v>184219.58</v>
      </c>
      <c r="O191" s="92">
        <f>I77</f>
        <v>4145.291428225275</v>
      </c>
      <c r="P191" s="92">
        <f>M191-O191</f>
        <v>180929.67517837923</v>
      </c>
      <c r="Q191" s="113">
        <f>N191-P191</f>
        <v>3289.9048216207593</v>
      </c>
      <c r="R191" s="91"/>
      <c r="S191" s="91">
        <f>0.14*L180*12</f>
        <v>0</v>
      </c>
      <c r="T191" s="91"/>
    </row>
    <row r="192" spans="6:20" x14ac:dyDescent="0.25">
      <c r="H192" s="92"/>
      <c r="I192" s="91"/>
      <c r="J192" s="91"/>
      <c r="K192" s="91"/>
      <c r="L192" s="91"/>
      <c r="M192" s="92"/>
      <c r="N192" s="91"/>
      <c r="O192" s="91"/>
      <c r="P192" s="92"/>
      <c r="Q192" s="91"/>
      <c r="R192" s="91"/>
      <c r="S192" s="113">
        <f>S191-Q191</f>
        <v>-3289.9048216207593</v>
      </c>
      <c r="T192" s="91"/>
    </row>
    <row r="193" spans="5:20" x14ac:dyDescent="0.25">
      <c r="G193" s="85"/>
      <c r="H193" s="91"/>
      <c r="I193" s="91"/>
      <c r="J193" s="91" t="s">
        <v>124</v>
      </c>
      <c r="K193" s="91"/>
      <c r="L193" s="91"/>
      <c r="M193" s="92"/>
      <c r="N193" s="91"/>
      <c r="O193" s="91"/>
      <c r="P193" s="91"/>
      <c r="Q193" s="91"/>
      <c r="R193" s="91"/>
      <c r="S193" s="91"/>
      <c r="T193" s="91"/>
    </row>
    <row r="194" spans="5:20" x14ac:dyDescent="0.25"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</row>
    <row r="195" spans="5:20" x14ac:dyDescent="0.25"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</row>
    <row r="196" spans="5:20" x14ac:dyDescent="0.25">
      <c r="H196" s="91"/>
      <c r="I196" s="91"/>
      <c r="J196" s="91"/>
      <c r="K196" s="91"/>
      <c r="L196" s="91"/>
      <c r="M196" s="91">
        <f>SUM(M194:M195)</f>
        <v>0</v>
      </c>
      <c r="N196" s="91"/>
      <c r="O196" s="91"/>
      <c r="P196" s="91"/>
      <c r="Q196" s="91"/>
      <c r="R196" s="91"/>
      <c r="S196" s="91"/>
      <c r="T196" s="91"/>
    </row>
    <row r="197" spans="5:20" x14ac:dyDescent="0.25"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</row>
    <row r="198" spans="5:20" x14ac:dyDescent="0.25">
      <c r="E198" s="85"/>
      <c r="F198" s="85"/>
      <c r="H198" s="91"/>
      <c r="I198" s="92"/>
      <c r="J198" s="91" t="s">
        <v>128</v>
      </c>
      <c r="K198" s="91"/>
      <c r="L198" s="91"/>
      <c r="M198" s="92">
        <f>M181+M191+M196+K171+N171+M186</f>
        <v>928223.68071172945</v>
      </c>
      <c r="N198" s="92"/>
      <c r="O198" s="92"/>
      <c r="P198" s="92"/>
      <c r="Q198" s="91"/>
      <c r="R198" s="91"/>
      <c r="S198" s="91"/>
      <c r="T198" s="91"/>
    </row>
    <row r="199" spans="5:20" x14ac:dyDescent="0.25">
      <c r="E199" s="85"/>
      <c r="H199" s="91"/>
      <c r="I199" s="92"/>
      <c r="J199" s="91" t="s">
        <v>7</v>
      </c>
      <c r="K199" s="91"/>
      <c r="L199" s="91"/>
      <c r="M199" s="92">
        <f>O181+O191</f>
        <v>14782.651963779957</v>
      </c>
      <c r="N199" s="92"/>
      <c r="O199" s="92"/>
      <c r="P199" s="91"/>
      <c r="Q199" s="91"/>
      <c r="R199" s="91"/>
      <c r="S199" s="91"/>
      <c r="T199" s="91"/>
    </row>
    <row r="200" spans="5:20" x14ac:dyDescent="0.25">
      <c r="E200" s="85"/>
      <c r="F200" s="85"/>
      <c r="H200" s="92">
        <f>F93+I128+K171+N171</f>
        <v>928223.68059643568</v>
      </c>
      <c r="I200" s="92">
        <f>'[1]2026'!$L$17+P123</f>
        <v>1337039.585</v>
      </c>
      <c r="J200" s="91" t="s">
        <v>125</v>
      </c>
      <c r="K200" s="91"/>
      <c r="L200" s="91"/>
      <c r="M200" s="92">
        <f>M198-M199</f>
        <v>913441.02874794952</v>
      </c>
      <c r="N200" s="91"/>
      <c r="O200" s="92"/>
      <c r="P200" s="92">
        <f>P181+P186+P191+K171+N171</f>
        <v>913441.0287479494</v>
      </c>
      <c r="Q200" s="91"/>
      <c r="R200" s="91"/>
      <c r="S200" s="91"/>
      <c r="T200" s="91"/>
    </row>
    <row r="201" spans="5:20" x14ac:dyDescent="0.25">
      <c r="F201" s="85"/>
      <c r="H201" s="91"/>
      <c r="I201" s="91"/>
      <c r="J201" s="91"/>
      <c r="K201" s="91"/>
      <c r="L201" s="91"/>
      <c r="M201" s="91"/>
      <c r="N201" s="91"/>
      <c r="O201" s="91"/>
      <c r="P201" s="92"/>
      <c r="Q201" s="91"/>
      <c r="R201" s="91"/>
      <c r="S201" s="91"/>
      <c r="T201" s="91"/>
    </row>
    <row r="202" spans="5:20" x14ac:dyDescent="0.25">
      <c r="H202" s="92">
        <f>H200-M200</f>
        <v>14782.651848486159</v>
      </c>
      <c r="I202" s="92">
        <f>D163-M202</f>
        <v>-6977.9000000000233</v>
      </c>
      <c r="J202" s="91" t="s">
        <v>126</v>
      </c>
      <c r="K202" s="91"/>
      <c r="L202" s="91"/>
      <c r="M202" s="114">
        <f>111723.3+184219.58+590822.88+49654.79-T122-P122</f>
        <v>869840.54</v>
      </c>
      <c r="N202" s="92">
        <f>K171+N181+N191+N171+N186</f>
        <v>929210.25</v>
      </c>
      <c r="O202" s="92">
        <f>O181+O191+O186</f>
        <v>14782.651963779957</v>
      </c>
      <c r="P202" s="91" t="s">
        <v>225</v>
      </c>
      <c r="Q202" s="91"/>
      <c r="R202" s="91"/>
      <c r="S202" s="91"/>
      <c r="T202" s="91"/>
    </row>
    <row r="203" spans="5:20" x14ac:dyDescent="0.25">
      <c r="H203" s="91"/>
      <c r="I203" s="91"/>
      <c r="J203" s="91"/>
      <c r="K203" s="91"/>
      <c r="L203" s="91"/>
      <c r="M203" s="91"/>
      <c r="N203" s="92"/>
      <c r="O203" s="91"/>
      <c r="P203" s="91"/>
      <c r="Q203" s="91"/>
      <c r="R203" s="91"/>
      <c r="S203" s="91"/>
      <c r="T203" s="91"/>
    </row>
    <row r="204" spans="5:20" x14ac:dyDescent="0.25">
      <c r="H204" s="91"/>
      <c r="I204" s="91"/>
      <c r="J204" s="91" t="s">
        <v>127</v>
      </c>
      <c r="K204" s="91"/>
      <c r="L204" s="91"/>
      <c r="M204" s="92">
        <f>M200-M202</f>
        <v>43600.488747949479</v>
      </c>
      <c r="N204" s="115">
        <f>Q181+Q186+Q191</f>
        <v>15769.221252050585</v>
      </c>
      <c r="O204" s="91"/>
      <c r="P204" s="91"/>
      <c r="Q204" s="91"/>
      <c r="R204" s="91"/>
      <c r="S204" s="91"/>
      <c r="T204" s="91"/>
    </row>
    <row r="205" spans="5:20" x14ac:dyDescent="0.25">
      <c r="H205" s="91"/>
      <c r="I205" s="91"/>
      <c r="J205" s="91"/>
      <c r="K205" s="91"/>
      <c r="L205" s="91"/>
      <c r="M205" s="91"/>
      <c r="N205" s="92">
        <f>-P122</f>
        <v>-66347.609999999986</v>
      </c>
      <c r="O205" s="91"/>
      <c r="P205" s="91"/>
      <c r="Q205" s="91"/>
      <c r="R205" s="91"/>
      <c r="S205" s="91"/>
      <c r="T205" s="91"/>
    </row>
    <row r="206" spans="5:20" x14ac:dyDescent="0.25">
      <c r="H206" s="91"/>
      <c r="I206" s="91"/>
      <c r="J206" s="91">
        <v>36.04</v>
      </c>
      <c r="K206" s="93">
        <v>3</v>
      </c>
      <c r="L206" s="112">
        <v>12413.7</v>
      </c>
      <c r="M206" s="93">
        <f>J206*K206*L206</f>
        <v>1342169.2440000002</v>
      </c>
      <c r="N206" s="116">
        <f>SUM(N204:N205)</f>
        <v>-50578.388747949401</v>
      </c>
      <c r="O206" s="91"/>
      <c r="P206" s="91"/>
      <c r="Q206" s="91"/>
      <c r="R206" s="91"/>
      <c r="S206" s="91"/>
      <c r="T206" s="91"/>
    </row>
    <row r="207" spans="5:20" x14ac:dyDescent="0.25">
      <c r="H207" s="91"/>
      <c r="I207" s="91"/>
      <c r="J207" s="91"/>
      <c r="K207" s="91"/>
      <c r="L207" s="91"/>
      <c r="M207" s="92">
        <f>F93+'[1]2026'!$C$128+I128</f>
        <v>1342169.2438802326</v>
      </c>
      <c r="N207" s="92"/>
      <c r="O207" s="91"/>
      <c r="P207" s="91"/>
      <c r="Q207" s="91"/>
      <c r="R207" s="91"/>
      <c r="S207" s="91"/>
      <c r="T207" s="91"/>
    </row>
    <row r="208" spans="5:20" x14ac:dyDescent="0.25">
      <c r="H208" s="91"/>
      <c r="I208" s="91"/>
      <c r="J208" s="91"/>
      <c r="K208" s="91"/>
      <c r="L208" s="91"/>
      <c r="M208" s="92">
        <f>M207-I97-'[1]2026'!$G$138</f>
        <v>1321270.3558811177</v>
      </c>
      <c r="N208" s="91"/>
      <c r="O208" s="91"/>
      <c r="P208" s="91"/>
      <c r="Q208" s="91"/>
      <c r="R208" s="91"/>
      <c r="S208" s="91"/>
      <c r="T208" s="91"/>
    </row>
    <row r="209" spans="8:20" x14ac:dyDescent="0.25">
      <c r="H209" s="91"/>
      <c r="I209" s="91"/>
      <c r="J209" s="91"/>
      <c r="K209" s="91"/>
      <c r="L209" s="91"/>
      <c r="M209" s="91">
        <f>167584.95+276329.37+877358.92</f>
        <v>1321273.24</v>
      </c>
      <c r="N209" s="91"/>
      <c r="O209" s="91"/>
      <c r="P209" s="91"/>
      <c r="Q209" s="91"/>
      <c r="R209" s="91"/>
      <c r="S209" s="91"/>
      <c r="T209" s="91"/>
    </row>
    <row r="210" spans="8:20" x14ac:dyDescent="0.25">
      <c r="H210" s="91"/>
      <c r="I210" s="91"/>
      <c r="J210" s="91"/>
      <c r="K210" s="91"/>
      <c r="L210" s="91"/>
      <c r="M210" s="92">
        <f>M208-M209</f>
        <v>-2.8841188822407275</v>
      </c>
      <c r="N210" s="91"/>
      <c r="O210" s="91"/>
      <c r="P210" s="91"/>
      <c r="Q210" s="91"/>
      <c r="R210" s="91"/>
      <c r="S210" s="91"/>
      <c r="T210" s="91"/>
    </row>
    <row r="211" spans="8:20" x14ac:dyDescent="0.25"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</row>
    <row r="212" spans="8:20" x14ac:dyDescent="0.25"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</row>
    <row r="213" spans="8:20" x14ac:dyDescent="0.25"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</row>
    <row r="214" spans="8:20" x14ac:dyDescent="0.25"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</row>
    <row r="215" spans="8:20" x14ac:dyDescent="0.25"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</row>
    <row r="216" spans="8:20" x14ac:dyDescent="0.25"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</row>
    <row r="217" spans="8:20" x14ac:dyDescent="0.25"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</row>
    <row r="218" spans="8:20" x14ac:dyDescent="0.25"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</row>
    <row r="219" spans="8:20" x14ac:dyDescent="0.25"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</row>
    <row r="220" spans="8:20" x14ac:dyDescent="0.25"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</row>
    <row r="221" spans="8:20" x14ac:dyDescent="0.25"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</row>
    <row r="222" spans="8:20" x14ac:dyDescent="0.25"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</row>
    <row r="223" spans="8:20" x14ac:dyDescent="0.25"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</row>
    <row r="224" spans="8:20" x14ac:dyDescent="0.25"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</row>
    <row r="225" spans="8:20" x14ac:dyDescent="0.25"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</row>
    <row r="226" spans="8:20" x14ac:dyDescent="0.25"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</row>
    <row r="227" spans="8:20" x14ac:dyDescent="0.25"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</row>
    <row r="228" spans="8:20" x14ac:dyDescent="0.25"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</row>
  </sheetData>
  <mergeCells count="13">
    <mergeCell ref="D144:F144"/>
    <mergeCell ref="D138:F138"/>
    <mergeCell ref="D139:F139"/>
    <mergeCell ref="D140:F140"/>
    <mergeCell ref="D141:F141"/>
    <mergeCell ref="D142:F142"/>
    <mergeCell ref="D143:F143"/>
    <mergeCell ref="D137:F137"/>
    <mergeCell ref="P118:Q118"/>
    <mergeCell ref="D133:F133"/>
    <mergeCell ref="D134:F134"/>
    <mergeCell ref="D135:F135"/>
    <mergeCell ref="D136:F136"/>
  </mergeCells>
  <pageMargins left="0" right="0" top="0" bottom="0" header="0.31496062992125984" footer="0.31496062992125984"/>
  <pageSetup paperSize="9" scale="2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2026г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2026-04-10T07:50:45Z</dcterms:modified>
</cp:coreProperties>
</file>